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kuzetova\AppData\Local\Microsoft\Windows\INetCache\Content.Outlook\STCSZ1S8\"/>
    </mc:Choice>
  </mc:AlternateContent>
  <xr:revisionPtr revIDLastSave="0" documentId="13_ncr:1_{C0AAC3E5-6288-4948-9B44-D1E89AC562BC}" xr6:coauthVersionLast="36" xr6:coauthVersionMax="36" xr10:uidLastSave="{00000000-0000-0000-0000-000000000000}"/>
  <bookViews>
    <workbookView xWindow="-105" yWindow="-105" windowWidth="23250" windowHeight="13890" tabRatio="779" xr2:uid="{00000000-000D-0000-FFFF-FFFF00000000}"/>
  </bookViews>
  <sheets>
    <sheet name="Title" sheetId="12" r:id="rId1"/>
    <sheet name="Content" sheetId="15" r:id="rId2"/>
    <sheet name="1.Income Statement" sheetId="3" r:id="rId3"/>
    <sheet name="2.Balance Sheet" sheetId="8" r:id="rId4"/>
    <sheet name="3.Cash Flow Statement" sheetId="9" r:id="rId5"/>
    <sheet name="4.Equity" sheetId="18" r:id="rId6"/>
    <sheet name="5. Operational &amp; Cost Metrics" sheetId="11" r:id="rId7"/>
    <sheet name="6. CPR Production Forecast" sheetId="16" state="hidden" r:id="rId8"/>
    <sheet name="CPR Production Profiles" sheetId="17" r:id="rId9"/>
    <sheet name="Reference List" sheetId="13" r:id="rId10"/>
  </sheets>
  <externalReferences>
    <externalReference r:id="rId11"/>
  </externalReferences>
  <definedNames>
    <definedName name="__123Graph_A" hidden="1">[1]IPR_VOG!$U$8:$U$19</definedName>
    <definedName name="__123Graph_AOILIPR" hidden="1">[1]IPR_VOG!$B$8:$B$19</definedName>
    <definedName name="__123Graph_B" hidden="1">[1]IPR_VOG!$V$8:$V$32</definedName>
    <definedName name="__123Graph_LBL_A" hidden="1">[1]IPR_VOG!$V$8:$V$19</definedName>
    <definedName name="__123Graph_LBL_B" hidden="1">[1]IPR_VOG!$W$8:$W$32</definedName>
    <definedName name="__123Graph_X" hidden="1">[1]IPR_VOG!$T$8:$T$32</definedName>
    <definedName name="__123Graph_XOILIPR" hidden="1">[1]IPR_VOG!$D$8:$D$19</definedName>
    <definedName name="__E307" localSheetId="5" hidden="1">{#N/A,#N/A,FALSE,"Aging Summary";#N/A,#N/A,FALSE,"Ratio Analysis";#N/A,#N/A,FALSE,"Test 120 Day Accts";#N/A,#N/A,FALSE,"Tickmarks"}</definedName>
    <definedName name="__E307" hidden="1">{#N/A,#N/A,FALSE,"Aging Summary";#N/A,#N/A,FALSE,"Ratio Analysis";#N/A,#N/A,FALSE,"Test 120 Day Accts";#N/A,#N/A,FALSE,"Tickmarks"}</definedName>
    <definedName name="__N300" localSheetId="5" hidden="1">{#N/A,#N/A,FALSE,"Aging Summary";#N/A,#N/A,FALSE,"Ratio Analysis";#N/A,#N/A,FALSE,"Test 120 Day Accts";#N/A,#N/A,FALSE,"Tickmarks"}</definedName>
    <definedName name="__N300" hidden="1">{#N/A,#N/A,FALSE,"Aging Summary";#N/A,#N/A,FALSE,"Ratio Analysis";#N/A,#N/A,FALSE,"Test 120 Day Accts";#N/A,#N/A,FALSE,"Tickmarks"}</definedName>
    <definedName name="__sort" localSheetId="5" hidden="1">#REF!</definedName>
    <definedName name="__sort" localSheetId="6" hidden="1">#REF!</definedName>
    <definedName name="__sort" hidden="1">#REF!</definedName>
    <definedName name="_E307" localSheetId="5" hidden="1">{#N/A,#N/A,FALSE,"Aging Summary";#N/A,#N/A,FALSE,"Ratio Analysis";#N/A,#N/A,FALSE,"Test 120 Day Accts";#N/A,#N/A,FALSE,"Tickmarks"}</definedName>
    <definedName name="_E307" hidden="1">{#N/A,#N/A,FALSE,"Aging Summary";#N/A,#N/A,FALSE,"Ratio Analysis";#N/A,#N/A,FALSE,"Test 120 Day Accts";#N/A,#N/A,FALSE,"Tickmarks"}</definedName>
    <definedName name="_Key1" localSheetId="3" hidden="1">#REF!</definedName>
    <definedName name="_Key1" localSheetId="4" hidden="1">#REF!</definedName>
    <definedName name="_Key1" localSheetId="5" hidden="1">#REF!</definedName>
    <definedName name="_Key1" localSheetId="6" hidden="1">#REF!</definedName>
    <definedName name="_Key1" hidden="1">#REF!</definedName>
    <definedName name="_Key2" localSheetId="3" hidden="1">#REF!</definedName>
    <definedName name="_Key2" localSheetId="4" hidden="1">#REF!</definedName>
    <definedName name="_Key2" localSheetId="5" hidden="1">#REF!</definedName>
    <definedName name="_Key2" localSheetId="6" hidden="1">#REF!</definedName>
    <definedName name="_Key2" hidden="1">#REF!</definedName>
    <definedName name="_N300" localSheetId="5" hidden="1">{#N/A,#N/A,FALSE,"Aging Summary";#N/A,#N/A,FALSE,"Ratio Analysis";#N/A,#N/A,FALSE,"Test 120 Day Accts";#N/A,#N/A,FALSE,"Tickmarks"}</definedName>
    <definedName name="_N300" hidden="1">{#N/A,#N/A,FALSE,"Aging Summary";#N/A,#N/A,FALSE,"Ratio Analysis";#N/A,#N/A,FALSE,"Test 120 Day Accts";#N/A,#N/A,FALSE,"Tickmarks"}</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_xlnm._FilterDatabase" localSheetId="9" hidden="1">'Reference List'!$B$4:$C$11</definedName>
    <definedName name="AccessDatabase" hidden="1">"C:\Мои документы\New standart\MS-Reports\Резервирование.mdb"</definedName>
    <definedName name="AS2DocOpenMode" hidden="1">"AS2DocumentEdit"</definedName>
    <definedName name="AS2HasNoAutoHeaderFooter" hidden="1">" "</definedName>
    <definedName name="Brent" localSheetId="3">#REF!</definedName>
    <definedName name="Brent" localSheetId="4">#REF!</definedName>
    <definedName name="Brent" localSheetId="5">#REF!</definedName>
    <definedName name="Brent" localSheetId="6">#REF!</definedName>
    <definedName name="Brent">#REF!</definedName>
    <definedName name="CF" localSheetId="5" hidden="1">#REF!</definedName>
    <definedName name="CF" localSheetId="6" hidden="1">#REF!</definedName>
    <definedName name="CF" hidden="1">#REF!</definedName>
    <definedName name="Days" localSheetId="3">#REF!</definedName>
    <definedName name="Days" localSheetId="4">#REF!</definedName>
    <definedName name="Days" localSheetId="5">#REF!</definedName>
    <definedName name="Days" localSheetId="6">#REF!</definedName>
    <definedName name="Days">#REF!</definedName>
    <definedName name="E310AR30" localSheetId="5" hidden="1">{#N/A,#N/A,FALSE,"Aging Summary";#N/A,#N/A,FALSE,"Ratio Analysis";#N/A,#N/A,FALSE,"Test 120 Day Accts";#N/A,#N/A,FALSE,"Tickmarks"}</definedName>
    <definedName name="E310AR30" hidden="1">{#N/A,#N/A,FALSE,"Aging Summary";#N/A,#N/A,FALSE,"Ratio Analysis";#N/A,#N/A,FALSE,"Test 120 Day Accts";#N/A,#N/A,FALSE,"Tickmarks"}</definedName>
    <definedName name="ergeg" localSheetId="5" hidden="1">{#N/A,#N/A,TRUE,"Лист1";#N/A,#N/A,TRUE,"Лист2";#N/A,#N/A,TRUE,"Лист3"}</definedName>
    <definedName name="ergeg" hidden="1">{#N/A,#N/A,TRUE,"Лист1";#N/A,#N/A,TRUE,"Лист2";#N/A,#N/A,TRUE,"Лист3"}</definedName>
    <definedName name="FX_Avg" localSheetId="3">#REF!</definedName>
    <definedName name="FX_Avg" localSheetId="4">#REF!</definedName>
    <definedName name="FX_Avg" localSheetId="5">#REF!</definedName>
    <definedName name="FX_Avg" localSheetId="6">#REF!</definedName>
    <definedName name="FX_Avg">#REF!</definedName>
    <definedName name="FX_End" localSheetId="3">#REF!</definedName>
    <definedName name="FX_End" localSheetId="4">#REF!</definedName>
    <definedName name="FX_End" localSheetId="5">#REF!</definedName>
    <definedName name="FX_End" localSheetId="6">#REF!</definedName>
    <definedName name="FX_End">#REF!</definedName>
    <definedName name="gfndfnbd" localSheetId="5" hidden="1">{#N/A,#N/A,TRUE,"Лист1";#N/A,#N/A,TRUE,"Лист2";#N/A,#N/A,TRUE,"Лист3"}</definedName>
    <definedName name="gfndfnbd" hidden="1">{#N/A,#N/A,TRUE,"Лист1";#N/A,#N/A,TRUE,"Лист2";#N/A,#N/A,TRUE,"Лист3"}</definedName>
    <definedName name="gvfereg" localSheetId="5" hidden="1">{#N/A,#N/A,TRUE,"Лист1";#N/A,#N/A,TRUE,"Лист2";#N/A,#N/A,TRUE,"Лист3"}</definedName>
    <definedName name="gvfereg" hidden="1">{#N/A,#N/A,TRUE,"Лист1";#N/A,#N/A,TRUE,"Лист2";#N/A,#N/A,TRUE,"Лист3"}</definedName>
    <definedName name="LLPs" localSheetId="5" hidden="1">{#N/A,#N/A,FALSE,"Sheet1"}</definedName>
    <definedName name="LLPs" hidden="1">{#N/A,#N/A,FALSE,"Sheet1"}</definedName>
    <definedName name="regionwise" localSheetId="5" hidden="1">{#N/A,#N/A,FALSE,"Sheet1"}</definedName>
    <definedName name="regionwise" hidden="1">{#N/A,#N/A,FALSE,"Sheet1"}</definedName>
    <definedName name="TextRefCopyRangeCount" hidden="1">3</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OOK1.XLS." localSheetId="5" hidden="1">{#N/A,#N/A,FALSE,"Sheet1"}</definedName>
    <definedName name="wrn.BOOK1.XLS." hidden="1">{#N/A,#N/A,FALSE,"Sheet1"}</definedName>
    <definedName name="wrn.Сравнение._.с._.отраслями." localSheetId="5" hidden="1">{#N/A,#N/A,TRUE,"Лист1";#N/A,#N/A,TRUE,"Лист2";#N/A,#N/A,TRUE,"Лист3"}</definedName>
    <definedName name="wrn.Сравнение._.с._.отраслями." hidden="1">{#N/A,#N/A,TRUE,"Лист1";#N/A,#N/A,TRUE,"Лист2";#N/A,#N/A,TRUE,"Лист3"}</definedName>
    <definedName name="ymkrykry" localSheetId="5" hidden="1">{#N/A,#N/A,TRUE,"Лист1";#N/A,#N/A,TRUE,"Лист2";#N/A,#N/A,TRUE,"Лист3"}</definedName>
    <definedName name="ymkrykry" hidden="1">{#N/A,#N/A,TRUE,"Лист1";#N/A,#N/A,TRUE,"Лист2";#N/A,#N/A,TRUE,"Лист3"}</definedName>
    <definedName name="Z_C37E65A7_9893_435E_9759_72E0D8A5DD87_.wvu.PrintTitles" localSheetId="3" hidden="1">#REF!</definedName>
    <definedName name="Z_C37E65A7_9893_435E_9759_72E0D8A5DD87_.wvu.PrintTitles" localSheetId="4" hidden="1">#REF!</definedName>
    <definedName name="Z_C37E65A7_9893_435E_9759_72E0D8A5DD87_.wvu.PrintTitles" localSheetId="5" hidden="1">#REF!</definedName>
    <definedName name="Z_C37E65A7_9893_435E_9759_72E0D8A5DD87_.wvu.PrintTitles" localSheetId="6" hidden="1">#REF!</definedName>
    <definedName name="Z_C37E65A7_9893_435E_9759_72E0D8A5DD87_.wvu.PrintTitles" hidden="1">#REF!</definedName>
    <definedName name="вуув" localSheetId="5" hidden="1">{#N/A,#N/A,TRUE,"Лист1";#N/A,#N/A,TRUE,"Лист2";#N/A,#N/A,TRUE,"Лист3"}</definedName>
    <definedName name="вуув" hidden="1">{#N/A,#N/A,TRUE,"Лист1";#N/A,#N/A,TRUE,"Лист2";#N/A,#N/A,TRUE,"Лист3"}</definedName>
    <definedName name="грприрцфв00ав98" localSheetId="5" hidden="1">{#N/A,#N/A,TRUE,"Лист1";#N/A,#N/A,TRUE,"Лист2";#N/A,#N/A,TRUE,"Лист3"}</definedName>
    <definedName name="грприрцфв00ав98" hidden="1">{#N/A,#N/A,TRUE,"Лист1";#N/A,#N/A,TRUE,"Лист2";#N/A,#N/A,TRUE,"Лист3"}</definedName>
    <definedName name="грфинцкавг98Х" localSheetId="5" hidden="1">{#N/A,#N/A,TRUE,"Лист1";#N/A,#N/A,TRUE,"Лист2";#N/A,#N/A,TRUE,"Лист3"}</definedName>
    <definedName name="грфинцкавг98Х" hidden="1">{#N/A,#N/A,TRUE,"Лист1";#N/A,#N/A,TRUE,"Лист2";#N/A,#N/A,TRUE,"Лист3"}</definedName>
    <definedName name="индцкавг98" localSheetId="5" hidden="1">{#N/A,#N/A,TRUE,"Лист1";#N/A,#N/A,TRUE,"Лист2";#N/A,#N/A,TRUE,"Лист3"}</definedName>
    <definedName name="индцкавг98" hidden="1">{#N/A,#N/A,TRUE,"Лист1";#N/A,#N/A,TRUE,"Лист2";#N/A,#N/A,TRUE,"Лист3"}</definedName>
    <definedName name="кеппппппппппп" localSheetId="5" hidden="1">{#N/A,#N/A,TRUE,"Лист1";#N/A,#N/A,TRUE,"Лист2";#N/A,#N/A,TRUE,"Лист3"}</definedName>
    <definedName name="кеппппппппппп" hidden="1">{#N/A,#N/A,TRUE,"Лист1";#N/A,#N/A,TRUE,"Лист2";#N/A,#N/A,TRUE,"Лист3"}</definedName>
    <definedName name="мтиьт" localSheetId="5" hidden="1">{#N/A,#N/A,TRUE,"Лист1";#N/A,#N/A,TRUE,"Лист2";#N/A,#N/A,TRUE,"Лист3"}</definedName>
    <definedName name="мтиьт" hidden="1">{#N/A,#N/A,TRUE,"Лист1";#N/A,#N/A,TRUE,"Лист2";#N/A,#N/A,TRUE,"Лист3"}</definedName>
    <definedName name="_xlnm.Print_Area" localSheetId="2">'1.Income Statement'!$A$1:$AJ$84</definedName>
    <definedName name="_xlnm.Print_Area" localSheetId="3">'2.Balance Sheet'!$A$1:$AJ$88</definedName>
    <definedName name="_xlnm.Print_Area" localSheetId="4">'3.Cash Flow Statement'!$A$1:$AJ$102</definedName>
    <definedName name="_xlnm.Print_Area" localSheetId="6">'5. Operational &amp; Cost Metrics'!$A$1:$AK$96</definedName>
    <definedName name="ппппп" localSheetId="5" hidden="1">{#N/A,#N/A,TRUE,"Лист1";#N/A,#N/A,TRUE,"Лист2";#N/A,#N/A,TRUE,"Лист3"}</definedName>
    <definedName name="ппппп" hidden="1">{#N/A,#N/A,TRUE,"Лист1";#N/A,#N/A,TRUE,"Лист2";#N/A,#N/A,TRUE,"Лист3"}</definedName>
    <definedName name="прибыль3" localSheetId="5" hidden="1">{#N/A,#N/A,TRUE,"Лист1";#N/A,#N/A,TRUE,"Лист2";#N/A,#N/A,TRUE,"Лист3"}</definedName>
    <definedName name="прибыль3" hidden="1">{#N/A,#N/A,TRUE,"Лист1";#N/A,#N/A,TRUE,"Лист2";#N/A,#N/A,TRUE,"Лист3"}</definedName>
    <definedName name="прро" localSheetId="5" hidden="1">{#VALUE!,#N/A,FALSE,0;#N/A,#N/A,FALSE,0;#N/A,#N/A,FALSE,0;#N/A,#N/A,FALSE,0}</definedName>
    <definedName name="прро" hidden="1">{#VALUE!,#N/A,FALSE,0;#N/A,#N/A,FALSE,0;#N/A,#N/A,FALSE,0;#N/A,#N/A,FALSE,0}</definedName>
    <definedName name="рис1" localSheetId="5" hidden="1">{#N/A,#N/A,TRUE,"Лист1";#N/A,#N/A,TRUE,"Лист2";#N/A,#N/A,TRUE,"Лист3"}</definedName>
    <definedName name="рис1" hidden="1">{#N/A,#N/A,TRUE,"Лист1";#N/A,#N/A,TRUE,"Лист2";#N/A,#N/A,TRUE,"Лист3"}</definedName>
    <definedName name="роол" localSheetId="5" hidden="1">{#VALUE!,#N/A,FALSE,0;#N/A,#N/A,FALSE,0;#N/A,#N/A,FALSE,0;#N/A,#N/A,FALSE,0}</definedName>
    <definedName name="роол" hidden="1">{#VALUE!,#N/A,FALSE,0;#N/A,#N/A,FALSE,0;#N/A,#N/A,FALSE,0;#N/A,#N/A,FALSE,0}</definedName>
    <definedName name="тп" localSheetId="5" hidden="1">{#N/A,#N/A,TRUE,"Лист1";#N/A,#N/A,TRUE,"Лист2";#N/A,#N/A,TRUE,"Лист3"}</definedName>
    <definedName name="тп" hidden="1">{#N/A,#N/A,TRUE,"Лист1";#N/A,#N/A,TRUE,"Лист2";#N/A,#N/A,TRUE,"Лист3"}</definedName>
    <definedName name="укеееукеееееееееееееее" localSheetId="5" hidden="1">{#N/A,#N/A,TRUE,"Лист1";#N/A,#N/A,TRUE,"Лист2";#N/A,#N/A,TRUE,"Лист3"}</definedName>
    <definedName name="укеееукеееееееееееееее" hidden="1">{#N/A,#N/A,TRUE,"Лист1";#N/A,#N/A,TRUE,"Лист2";#N/A,#N/A,TRUE,"Лист3"}</definedName>
    <definedName name="укеукеуеуе" localSheetId="5" hidden="1">{#N/A,#N/A,TRUE,"Лист1";#N/A,#N/A,TRUE,"Лист2";#N/A,#N/A,TRUE,"Лист3"}</definedName>
    <definedName name="укеукеуеуе" hidden="1">{#N/A,#N/A,TRUE,"Лист1";#N/A,#N/A,TRUE,"Лист2";#N/A,#N/A,TRUE,"Лист3"}</definedName>
    <definedName name="ыуаы" localSheetId="5" hidden="1">{#N/A,#N/A,TRUE,"Лист1";#N/A,#N/A,TRUE,"Лист2";#N/A,#N/A,TRUE,"Лист3"}</definedName>
    <definedName name="ыуаы" hidden="1">{#N/A,#N/A,TRUE,"Лист1";#N/A,#N/A,TRUE,"Лист2";#N/A,#N/A,TRUE,"Лист3"}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1" i="8" l="1"/>
  <c r="AJ84" i="9" l="1"/>
  <c r="AJ61" i="9"/>
  <c r="AJ31" i="9"/>
  <c r="AJ82" i="8"/>
  <c r="AJ70" i="8"/>
  <c r="AJ60" i="8"/>
  <c r="AJ48" i="8"/>
  <c r="AJ34" i="8"/>
  <c r="AJ10" i="9"/>
  <c r="AJ9" i="9"/>
  <c r="AJ8" i="9"/>
  <c r="AJ7" i="9"/>
  <c r="AJ6" i="9"/>
  <c r="AJ5" i="9"/>
  <c r="AJ10" i="8"/>
  <c r="AJ9" i="8"/>
  <c r="AJ8" i="8"/>
  <c r="AJ7" i="8"/>
  <c r="AJ6" i="8"/>
  <c r="AJ5" i="8"/>
  <c r="AI6" i="8"/>
  <c r="AI7" i="8"/>
  <c r="AI8" i="8"/>
  <c r="AI9" i="8"/>
  <c r="AI10" i="8"/>
  <c r="AJ50" i="8" l="1"/>
  <c r="AJ84" i="8"/>
  <c r="AJ85" i="8" s="1"/>
  <c r="AK10" i="11"/>
  <c r="AJ75" i="3"/>
  <c r="AJ57" i="3"/>
  <c r="AJ58" i="3" s="1"/>
  <c r="AJ17" i="3"/>
  <c r="AJ31" i="3" s="1"/>
  <c r="AJ34" i="3" s="1"/>
  <c r="AJ36" i="3" s="1"/>
  <c r="AJ78" i="9" l="1"/>
  <c r="AI22" i="9"/>
  <c r="G81" i="8"/>
  <c r="G82" i="8" s="1"/>
  <c r="G69" i="8"/>
  <c r="AI78" i="9" l="1"/>
  <c r="AI18" i="9" l="1"/>
  <c r="AJ66" i="11" l="1"/>
  <c r="AH66" i="11"/>
  <c r="AF66" i="11"/>
  <c r="AD66" i="11"/>
  <c r="AE41" i="9" l="1"/>
  <c r="AI41" i="9"/>
  <c r="AI5" i="8" l="1"/>
  <c r="AI10" i="9"/>
  <c r="AI9" i="9"/>
  <c r="AI8" i="9"/>
  <c r="AI7" i="9"/>
  <c r="AI6" i="9"/>
  <c r="AI5" i="9"/>
  <c r="AJ10" i="11"/>
  <c r="AJ9" i="11"/>
  <c r="AJ8" i="11"/>
  <c r="AJ7" i="11"/>
  <c r="AJ6" i="11"/>
  <c r="AJ5" i="11"/>
  <c r="AJ67" i="11"/>
  <c r="AJ56" i="11"/>
  <c r="AJ42" i="11"/>
  <c r="K8" i="18"/>
  <c r="J8" i="18"/>
  <c r="AI84" i="9"/>
  <c r="AI86" i="9" s="1"/>
  <c r="AI44" i="9"/>
  <c r="AI61" i="9" s="1"/>
  <c r="AE44" i="9"/>
  <c r="AI31" i="9"/>
  <c r="AI82" i="8"/>
  <c r="AI70" i="8"/>
  <c r="AI60" i="8"/>
  <c r="AI48" i="8"/>
  <c r="AI34" i="8"/>
  <c r="AI50" i="8" s="1"/>
  <c r="AI75" i="3"/>
  <c r="AI57" i="3"/>
  <c r="AI58" i="3" s="1"/>
  <c r="AI17" i="3"/>
  <c r="AI31" i="3" s="1"/>
  <c r="AI84" i="8" l="1"/>
  <c r="AI85" i="8" s="1"/>
  <c r="AI15" i="9"/>
  <c r="AI34" i="3"/>
  <c r="AI36" i="3" s="1"/>
  <c r="AH30" i="9"/>
  <c r="AH57" i="3"/>
  <c r="AI10" i="11" l="1"/>
  <c r="AI9" i="11"/>
  <c r="AI7" i="11"/>
  <c r="AI6" i="11"/>
  <c r="AI5" i="11"/>
  <c r="AH75" i="3"/>
  <c r="AH58" i="3" l="1"/>
  <c r="AH17" i="3"/>
  <c r="AH31" i="3" s="1"/>
  <c r="AH15" i="9" l="1"/>
  <c r="AH34" i="3"/>
  <c r="AH36" i="3" s="1"/>
  <c r="AH84" i="9"/>
  <c r="AH86" i="9" s="1"/>
  <c r="AH78" i="9"/>
  <c r="AH61" i="9"/>
  <c r="AH22" i="9"/>
  <c r="AH18" i="9"/>
  <c r="AH31" i="9" s="1"/>
  <c r="AH10" i="9"/>
  <c r="AH9" i="9"/>
  <c r="AH7" i="9"/>
  <c r="AH6" i="9"/>
  <c r="AH5" i="9"/>
  <c r="AH10" i="8"/>
  <c r="AH9" i="8"/>
  <c r="AH7" i="8"/>
  <c r="AH6" i="8"/>
  <c r="AH5" i="8"/>
  <c r="AH82" i="8"/>
  <c r="AH70" i="8"/>
  <c r="AH60" i="8"/>
  <c r="AH48" i="8"/>
  <c r="AH34" i="8"/>
  <c r="AH50" i="8" s="1"/>
  <c r="AH84" i="8" l="1"/>
  <c r="AH85" i="8" s="1"/>
  <c r="AD9" i="11"/>
  <c r="Z9" i="9"/>
  <c r="AA9" i="9"/>
  <c r="AB9" i="9"/>
  <c r="AC9" i="9"/>
  <c r="AA9" i="8"/>
  <c r="Z9" i="8"/>
  <c r="AB9" i="8"/>
  <c r="AC9" i="8"/>
  <c r="AF51" i="3"/>
  <c r="AE51" i="3"/>
  <c r="AG51" i="3"/>
  <c r="AG57" i="3" s="1"/>
  <c r="AG58" i="3" s="1"/>
  <c r="AC45" i="3"/>
  <c r="AE45" i="3"/>
  <c r="AG84" i="8"/>
  <c r="AG85" i="8" s="1"/>
  <c r="AG82" i="8"/>
  <c r="AG70" i="8"/>
  <c r="AG60" i="8"/>
  <c r="AG48" i="8"/>
  <c r="AG34" i="8"/>
  <c r="AG50" i="8" s="1"/>
  <c r="AG8" i="8"/>
  <c r="AG10" i="8"/>
  <c r="AG9" i="8"/>
  <c r="AG7" i="8"/>
  <c r="AG6" i="8"/>
  <c r="AG5" i="8"/>
  <c r="AG84" i="9"/>
  <c r="AG86" i="9" s="1"/>
  <c r="AG78" i="9"/>
  <c r="AG44" i="9"/>
  <c r="AG61" i="9" s="1"/>
  <c r="AG30" i="9"/>
  <c r="AG22" i="9"/>
  <c r="AC18" i="9"/>
  <c r="AG18" i="9"/>
  <c r="AG8" i="9"/>
  <c r="AG10" i="9"/>
  <c r="AG9" i="9"/>
  <c r="AG7" i="9"/>
  <c r="AG6" i="9"/>
  <c r="AG5" i="9"/>
  <c r="J17" i="18"/>
  <c r="AH8" i="11"/>
  <c r="AH10" i="11"/>
  <c r="AH9" i="11"/>
  <c r="AH7" i="11"/>
  <c r="AH6" i="11"/>
  <c r="AH5" i="11"/>
  <c r="AH56" i="11"/>
  <c r="AH67" i="11"/>
  <c r="AH42" i="11"/>
  <c r="AG75" i="3"/>
  <c r="AG17" i="3"/>
  <c r="AG31" i="3" s="1"/>
  <c r="AG15" i="9" s="1"/>
  <c r="AG31" i="9" l="1"/>
  <c r="AG34" i="3"/>
  <c r="AG36" i="3" s="1"/>
  <c r="AJ21" i="17"/>
  <c r="AJ20" i="17"/>
  <c r="AJ19" i="17"/>
  <c r="AJ18" i="17"/>
  <c r="AJ17" i="17"/>
  <c r="AJ16" i="17"/>
  <c r="AJ15" i="17"/>
  <c r="AJ14" i="17"/>
  <c r="AJ13" i="17"/>
  <c r="AJ12" i="17"/>
  <c r="AJ11" i="17"/>
  <c r="AJ10" i="17"/>
  <c r="AJ9" i="17"/>
  <c r="AJ8" i="17"/>
  <c r="AF44" i="9" l="1"/>
  <c r="AG10" i="11" l="1"/>
  <c r="AG9" i="11"/>
  <c r="AG7" i="11"/>
  <c r="AG6" i="11"/>
  <c r="AG5" i="11"/>
  <c r="AF84" i="9"/>
  <c r="AF86" i="9" s="1"/>
  <c r="AF78" i="9"/>
  <c r="AF61" i="9"/>
  <c r="AF22" i="9" l="1"/>
  <c r="AF31" i="9" s="1"/>
  <c r="AF10" i="9"/>
  <c r="AF9" i="9"/>
  <c r="AF7" i="9"/>
  <c r="AF6" i="9"/>
  <c r="AF5" i="9"/>
  <c r="AF82" i="8" l="1"/>
  <c r="AF70" i="8"/>
  <c r="AF58" i="8"/>
  <c r="AF60" i="8" s="1"/>
  <c r="AF48" i="8"/>
  <c r="AF34" i="8"/>
  <c r="AF10" i="8"/>
  <c r="AF9" i="8"/>
  <c r="AF7" i="8"/>
  <c r="AF6" i="8"/>
  <c r="AF5" i="8"/>
  <c r="AF75" i="3"/>
  <c r="AF50" i="8" l="1"/>
  <c r="AF84" i="8"/>
  <c r="AF85" i="8" s="1"/>
  <c r="AF57" i="3"/>
  <c r="AF58" i="3" s="1"/>
  <c r="AF31" i="3"/>
  <c r="AF15" i="9" s="1"/>
  <c r="AF34" i="3" l="1"/>
  <c r="AF36" i="3" s="1"/>
  <c r="I18" i="18"/>
  <c r="H18" i="18"/>
  <c r="G18" i="18"/>
  <c r="F18" i="18"/>
  <c r="E18" i="18"/>
  <c r="D18" i="18"/>
  <c r="AF10" i="11" l="1"/>
  <c r="AF9" i="11"/>
  <c r="AE10" i="9"/>
  <c r="AE9" i="9"/>
  <c r="AE10" i="8"/>
  <c r="AE9" i="8"/>
  <c r="AF67" i="11"/>
  <c r="AF56" i="11"/>
  <c r="AF42" i="11"/>
  <c r="AE84" i="9"/>
  <c r="AE86" i="9" s="1"/>
  <c r="AE78" i="9"/>
  <c r="AE61" i="9" l="1"/>
  <c r="AE22" i="9"/>
  <c r="AE18" i="9"/>
  <c r="AE58" i="8"/>
  <c r="AE60" i="8" s="1"/>
  <c r="AE82" i="8"/>
  <c r="AE70" i="8"/>
  <c r="AD48" i="8"/>
  <c r="AE48" i="8"/>
  <c r="AE34" i="8"/>
  <c r="AE84" i="8" l="1"/>
  <c r="AE50" i="8"/>
  <c r="AE85" i="8"/>
  <c r="AE31" i="9"/>
  <c r="AE75" i="3"/>
  <c r="AE57" i="3"/>
  <c r="AE58" i="3" s="1"/>
  <c r="AE17" i="3"/>
  <c r="AE31" i="3" s="1"/>
  <c r="AF8" i="11"/>
  <c r="AF7" i="11"/>
  <c r="AF6" i="11"/>
  <c r="AF5" i="11"/>
  <c r="AE8" i="9"/>
  <c r="AE7" i="9"/>
  <c r="AE6" i="9"/>
  <c r="AE5" i="9"/>
  <c r="AE8" i="8"/>
  <c r="AE7" i="8"/>
  <c r="AE6" i="8"/>
  <c r="AE5" i="8"/>
  <c r="AE15" i="9" l="1"/>
  <c r="AE34" i="3"/>
  <c r="AE36" i="3" s="1"/>
  <c r="I8" i="18"/>
  <c r="H8" i="18"/>
  <c r="H15" i="18" s="1"/>
  <c r="G8" i="18"/>
  <c r="F8" i="18"/>
  <c r="E8" i="18"/>
  <c r="D8" i="18"/>
  <c r="AE10" i="11" l="1"/>
  <c r="AE9" i="11"/>
  <c r="AD10" i="9"/>
  <c r="AD9" i="9"/>
  <c r="AD10" i="8"/>
  <c r="AD9" i="8"/>
  <c r="AD84" i="9"/>
  <c r="AD86" i="9" s="1"/>
  <c r="AD78" i="9"/>
  <c r="AD61" i="9"/>
  <c r="AD30" i="9"/>
  <c r="AD22" i="9"/>
  <c r="AD18" i="9"/>
  <c r="AD82" i="8"/>
  <c r="AD70" i="8"/>
  <c r="AD58" i="8"/>
  <c r="AD60" i="8" s="1"/>
  <c r="AD34" i="8"/>
  <c r="AD50" i="8" s="1"/>
  <c r="AD75" i="3"/>
  <c r="AD57" i="3"/>
  <c r="AD58" i="3" s="1"/>
  <c r="AD17" i="3"/>
  <c r="AD31" i="3" s="1"/>
  <c r="AE7" i="11"/>
  <c r="AE6" i="11"/>
  <c r="AE5" i="11"/>
  <c r="AD7" i="9"/>
  <c r="AD6" i="9"/>
  <c r="AD5" i="9"/>
  <c r="AD84" i="8" l="1"/>
  <c r="AD85" i="8"/>
  <c r="AD34" i="3"/>
  <c r="AD36" i="3" s="1"/>
  <c r="AD15" i="9"/>
  <c r="AD31" i="9"/>
  <c r="AD7" i="8"/>
  <c r="AD6" i="8"/>
  <c r="AD5" i="8"/>
  <c r="X42" i="11" l="1"/>
  <c r="Z42" i="11"/>
  <c r="AD67" i="11" l="1"/>
  <c r="AD56" i="11"/>
  <c r="AD42" i="11"/>
  <c r="AC84" i="9"/>
  <c r="AC86" i="9" s="1"/>
  <c r="AC78" i="9"/>
  <c r="AC61" i="9"/>
  <c r="AC30" i="9"/>
  <c r="AC22" i="9"/>
  <c r="AC31" i="9" s="1"/>
  <c r="AB18" i="9"/>
  <c r="AB31" i="9" s="1"/>
  <c r="AC82" i="8"/>
  <c r="AC70" i="8"/>
  <c r="AC58" i="8"/>
  <c r="AC60" i="8" s="1"/>
  <c r="AC48" i="8"/>
  <c r="AC34" i="8"/>
  <c r="AC75" i="3"/>
  <c r="AC57" i="3"/>
  <c r="AC58" i="3" s="1"/>
  <c r="AC17" i="3"/>
  <c r="AC31" i="3" s="1"/>
  <c r="AC84" i="8" l="1"/>
  <c r="AC50" i="8"/>
  <c r="AC85" i="8"/>
  <c r="AC15" i="9"/>
  <c r="AC34" i="3"/>
  <c r="AC36" i="3" s="1"/>
  <c r="W50" i="3"/>
  <c r="W53" i="3" l="1"/>
  <c r="AA74" i="3"/>
  <c r="AA73" i="3"/>
  <c r="AA71" i="3"/>
  <c r="Z71" i="3"/>
  <c r="Z74" i="3"/>
  <c r="Z72" i="3"/>
  <c r="Y72" i="3"/>
  <c r="Y71" i="3"/>
  <c r="Y74" i="3"/>
  <c r="W71" i="3"/>
  <c r="W73" i="3"/>
  <c r="W74" i="3"/>
  <c r="Y75" i="3" l="1"/>
  <c r="Z75" i="3"/>
  <c r="AA41" i="9"/>
  <c r="X44" i="9"/>
  <c r="X41" i="9"/>
  <c r="AB84" i="9" l="1"/>
  <c r="AB86" i="9" s="1"/>
  <c r="AB78" i="9"/>
  <c r="AB61" i="9"/>
  <c r="AB82" i="8"/>
  <c r="AB70" i="8"/>
  <c r="AB58" i="8"/>
  <c r="AB60" i="8" s="1"/>
  <c r="AB48" i="8"/>
  <c r="AB34" i="8"/>
  <c r="AB50" i="8" s="1"/>
  <c r="AB75" i="3"/>
  <c r="AB57" i="3"/>
  <c r="AB58" i="3" s="1"/>
  <c r="AB17" i="3"/>
  <c r="AB31" i="3" s="1"/>
  <c r="AB84" i="8" l="1"/>
  <c r="AB15" i="9"/>
  <c r="AB34" i="3"/>
  <c r="AB36" i="3" s="1"/>
  <c r="AB85" i="8"/>
  <c r="AB66" i="11"/>
  <c r="X66" i="11"/>
  <c r="W77" i="9"/>
  <c r="W44" i="9"/>
  <c r="AB67" i="11" l="1"/>
  <c r="AB56" i="11"/>
  <c r="AA84" i="9"/>
  <c r="AA86" i="9" s="1"/>
  <c r="AA78" i="9"/>
  <c r="AA61" i="9"/>
  <c r="AA22" i="9"/>
  <c r="AA18" i="9"/>
  <c r="AA82" i="8"/>
  <c r="AA70" i="8"/>
  <c r="AA58" i="8"/>
  <c r="AA48" i="8"/>
  <c r="AA34" i="8"/>
  <c r="Z34" i="8"/>
  <c r="Z48" i="8"/>
  <c r="Z50" i="8" s="1"/>
  <c r="AA75" i="3"/>
  <c r="AA57" i="3"/>
  <c r="AA58" i="3" s="1"/>
  <c r="AA17" i="3"/>
  <c r="AA60" i="8" l="1"/>
  <c r="AA50" i="8"/>
  <c r="AA84" i="8"/>
  <c r="AA31" i="3"/>
  <c r="AA31" i="9"/>
  <c r="AA85" i="8" l="1"/>
  <c r="AA15" i="9"/>
  <c r="AA34" i="3"/>
  <c r="Z84" i="9"/>
  <c r="Z86" i="9" s="1"/>
  <c r="Z78" i="9"/>
  <c r="Z61" i="9"/>
  <c r="Z31" i="9"/>
  <c r="Z82" i="8"/>
  <c r="Z70" i="8"/>
  <c r="Z58" i="8"/>
  <c r="Z60" i="8" s="1"/>
  <c r="Z57" i="3"/>
  <c r="Z58" i="3" s="1"/>
  <c r="Z17" i="3"/>
  <c r="Z31" i="3" s="1"/>
  <c r="Z84" i="8" l="1"/>
  <c r="Z85" i="8" s="1"/>
  <c r="AA36" i="3"/>
  <c r="Z34" i="3"/>
  <c r="Z36" i="3" s="1"/>
  <c r="Z15" i="9"/>
  <c r="Y84" i="9"/>
  <c r="Y86" i="9" s="1"/>
  <c r="Y61" i="9"/>
  <c r="Y82" i="8"/>
  <c r="Y48" i="8"/>
  <c r="Y17" i="3" l="1"/>
  <c r="Z67" i="11" l="1"/>
  <c r="Z56" i="11"/>
  <c r="Z10" i="11" l="1"/>
  <c r="Z9" i="11"/>
  <c r="Z8" i="11"/>
  <c r="Z7" i="11"/>
  <c r="Z6" i="11"/>
  <c r="Z5" i="11"/>
  <c r="Y10" i="9"/>
  <c r="Y9" i="9"/>
  <c r="Y8" i="9"/>
  <c r="Y7" i="9"/>
  <c r="Y6" i="9"/>
  <c r="Y5" i="9"/>
  <c r="Y10" i="8"/>
  <c r="Y9" i="8"/>
  <c r="Y8" i="8"/>
  <c r="Y7" i="8"/>
  <c r="Y6" i="8"/>
  <c r="Y5" i="8"/>
  <c r="Y78" i="9" l="1"/>
  <c r="Y31" i="9"/>
  <c r="Y70" i="8"/>
  <c r="Y84" i="8" s="1"/>
  <c r="Y58" i="8"/>
  <c r="Y60" i="8" s="1"/>
  <c r="Y34" i="8"/>
  <c r="Y50" i="8" s="1"/>
  <c r="Y57" i="3"/>
  <c r="Y58" i="3" s="1"/>
  <c r="Y31" i="3"/>
  <c r="Y34" i="3" s="1"/>
  <c r="Y36" i="3" s="1"/>
  <c r="Y85" i="8" l="1"/>
  <c r="Y15" i="9"/>
  <c r="X6" i="3"/>
  <c r="X6" i="8" s="1"/>
  <c r="X5" i="3"/>
  <c r="X5" i="8" s="1"/>
  <c r="X84" i="9" l="1"/>
  <c r="X86" i="9" s="1"/>
  <c r="X78" i="9"/>
  <c r="X61" i="9"/>
  <c r="X31" i="9"/>
  <c r="X57" i="3"/>
  <c r="X58" i="3" s="1"/>
  <c r="X17" i="3"/>
  <c r="X31" i="3" s="1"/>
  <c r="X75" i="3"/>
  <c r="X82" i="8"/>
  <c r="X70" i="8"/>
  <c r="X58" i="8"/>
  <c r="X60" i="8" s="1"/>
  <c r="X48" i="8"/>
  <c r="X34" i="8"/>
  <c r="X50" i="8" l="1"/>
  <c r="X84" i="8"/>
  <c r="X85" i="8" s="1"/>
  <c r="X15" i="9"/>
  <c r="X34" i="3"/>
  <c r="X36" i="3" s="1"/>
  <c r="S34" i="8"/>
  <c r="V34" i="8"/>
  <c r="W40" i="3"/>
  <c r="X56" i="11" l="1"/>
  <c r="X67" i="11"/>
  <c r="W84" i="9"/>
  <c r="W86" i="9" s="1"/>
  <c r="W78" i="9"/>
  <c r="W61" i="9"/>
  <c r="W31" i="9"/>
  <c r="W82" i="8"/>
  <c r="W70" i="8"/>
  <c r="W60" i="8"/>
  <c r="W84" i="8" l="1"/>
  <c r="W85" i="8" s="1"/>
  <c r="W48" i="8"/>
  <c r="W34" i="8"/>
  <c r="W75" i="3"/>
  <c r="W57" i="3"/>
  <c r="W58" i="3" s="1"/>
  <c r="W31" i="3"/>
  <c r="W50" i="8" l="1"/>
  <c r="W34" i="3"/>
  <c r="W36" i="3" s="1"/>
  <c r="W15" i="9"/>
  <c r="E8" i="8"/>
  <c r="U8" i="9"/>
  <c r="S8" i="9"/>
  <c r="Q8" i="9"/>
  <c r="O8" i="9"/>
  <c r="M8" i="9"/>
  <c r="K8" i="9"/>
  <c r="I8" i="9"/>
  <c r="G8" i="9"/>
  <c r="E8" i="9"/>
  <c r="W10" i="9"/>
  <c r="W9" i="9"/>
  <c r="W8" i="9"/>
  <c r="W7" i="9"/>
  <c r="W6" i="9"/>
  <c r="W5" i="9"/>
  <c r="W10" i="8"/>
  <c r="W9" i="3" l="1"/>
  <c r="W9" i="8" l="1"/>
  <c r="W8" i="8"/>
  <c r="W7" i="8"/>
  <c r="W6" i="8"/>
  <c r="W5" i="8"/>
  <c r="U8" i="8"/>
  <c r="S8" i="8"/>
  <c r="Q8" i="8"/>
  <c r="O8" i="8"/>
  <c r="M8" i="8"/>
  <c r="K8" i="8"/>
  <c r="I8" i="8"/>
  <c r="G8" i="8"/>
  <c r="O8" i="3"/>
  <c r="M8" i="3"/>
  <c r="K8" i="3"/>
  <c r="I8" i="3"/>
  <c r="E8" i="3"/>
  <c r="G8" i="3"/>
  <c r="U8" i="3"/>
  <c r="S8" i="3"/>
  <c r="Q8" i="3"/>
  <c r="Q9" i="3"/>
  <c r="V78" i="9" l="1"/>
  <c r="V61" i="9"/>
  <c r="V31" i="9"/>
  <c r="V10" i="9"/>
  <c r="V9" i="9"/>
  <c r="V7" i="9"/>
  <c r="V6" i="9"/>
  <c r="V5" i="9"/>
  <c r="V48" i="8"/>
  <c r="V58" i="8"/>
  <c r="V60" i="8" s="1"/>
  <c r="V70" i="8"/>
  <c r="V82" i="8"/>
  <c r="V10" i="8"/>
  <c r="V9" i="8"/>
  <c r="V7" i="8"/>
  <c r="V6" i="8"/>
  <c r="V5" i="8"/>
  <c r="V10" i="3"/>
  <c r="V9" i="3"/>
  <c r="V7" i="3"/>
  <c r="V6" i="3"/>
  <c r="V5" i="3"/>
  <c r="V57" i="3"/>
  <c r="V58" i="3" s="1"/>
  <c r="U57" i="3"/>
  <c r="U58" i="3" s="1"/>
  <c r="T57" i="3"/>
  <c r="T58" i="3" s="1"/>
  <c r="S57" i="3"/>
  <c r="S58" i="3" s="1"/>
  <c r="R57" i="3"/>
  <c r="R58" i="3" s="1"/>
  <c r="V75" i="3"/>
  <c r="V17" i="3"/>
  <c r="V31" i="3" s="1"/>
  <c r="V34" i="3" s="1"/>
  <c r="U17" i="3"/>
  <c r="V15" i="9" l="1"/>
  <c r="V80" i="9"/>
  <c r="V84" i="9" s="1"/>
  <c r="V86" i="9" s="1"/>
  <c r="V50" i="8"/>
  <c r="V84" i="8"/>
  <c r="V85" i="8" s="1"/>
  <c r="S67" i="11" l="1"/>
  <c r="T67" i="11"/>
  <c r="U67" i="11"/>
  <c r="V67" i="11"/>
  <c r="S56" i="11"/>
  <c r="T56" i="11"/>
  <c r="U56" i="11"/>
  <c r="V56" i="11"/>
  <c r="S42" i="11"/>
  <c r="T42" i="11"/>
  <c r="U42" i="11"/>
  <c r="V42" i="11"/>
  <c r="U10" i="9"/>
  <c r="U9" i="9"/>
  <c r="U7" i="9"/>
  <c r="U6" i="9"/>
  <c r="U5" i="9"/>
  <c r="T6" i="9"/>
  <c r="T7" i="9"/>
  <c r="T9" i="9"/>
  <c r="T10" i="9"/>
  <c r="T5" i="9"/>
  <c r="T6" i="8"/>
  <c r="T7" i="8"/>
  <c r="T9" i="8"/>
  <c r="T10" i="8"/>
  <c r="T5" i="8"/>
  <c r="U10" i="8"/>
  <c r="U9" i="8"/>
  <c r="U7" i="8"/>
  <c r="U6" i="8"/>
  <c r="U5" i="8"/>
  <c r="T6" i="3"/>
  <c r="T7" i="3"/>
  <c r="T9" i="3"/>
  <c r="T10" i="3"/>
  <c r="T5" i="3"/>
  <c r="U10" i="3"/>
  <c r="U9" i="3"/>
  <c r="U7" i="3"/>
  <c r="U6" i="3"/>
  <c r="U5" i="3"/>
  <c r="U78" i="9"/>
  <c r="U61" i="9"/>
  <c r="U31" i="9"/>
  <c r="U82" i="8"/>
  <c r="U58" i="8"/>
  <c r="U60" i="8" s="1"/>
  <c r="Q34" i="8"/>
  <c r="U34" i="8"/>
  <c r="U75" i="3"/>
  <c r="U31" i="3"/>
  <c r="U15" i="9" s="1"/>
  <c r="U34" i="3" l="1"/>
  <c r="U36" i="3" s="1"/>
  <c r="U80" i="9"/>
  <c r="U84" i="9" s="1"/>
  <c r="U86" i="9" s="1"/>
  <c r="U70" i="8"/>
  <c r="U84" i="8" s="1"/>
  <c r="U85" i="8" s="1"/>
  <c r="U48" i="8"/>
  <c r="U50" i="8" s="1"/>
  <c r="P75" i="3"/>
  <c r="Q57" i="3"/>
  <c r="L42" i="11" l="1"/>
  <c r="R42" i="11"/>
  <c r="J42" i="11"/>
  <c r="H42" i="11"/>
  <c r="N42" i="11"/>
  <c r="P42" i="11"/>
  <c r="F42" i="11"/>
  <c r="H18" i="11" l="1"/>
  <c r="M34" i="8" l="1"/>
  <c r="L31" i="8"/>
  <c r="J31" i="8"/>
  <c r="I31" i="8"/>
  <c r="H31" i="8"/>
  <c r="G31" i="8"/>
  <c r="E31" i="8"/>
  <c r="T61" i="9" l="1"/>
  <c r="T81" i="8" l="1"/>
  <c r="T69" i="8"/>
  <c r="T34" i="8"/>
  <c r="S10" i="3" l="1"/>
  <c r="R10" i="3"/>
  <c r="Q10" i="3"/>
  <c r="P10" i="3"/>
  <c r="O10" i="3"/>
  <c r="N10" i="3"/>
  <c r="M10" i="3"/>
  <c r="L10" i="3"/>
  <c r="K10" i="3"/>
  <c r="J10" i="3"/>
  <c r="I10" i="3"/>
  <c r="H10" i="3"/>
  <c r="G10" i="3"/>
  <c r="F10" i="3"/>
  <c r="E10" i="3"/>
  <c r="D10" i="3"/>
  <c r="S9" i="3"/>
  <c r="R9" i="3"/>
  <c r="P9" i="3"/>
  <c r="O9" i="3"/>
  <c r="N9" i="3"/>
  <c r="M9" i="3"/>
  <c r="L9" i="3"/>
  <c r="K9" i="3"/>
  <c r="J9" i="3"/>
  <c r="I9" i="3"/>
  <c r="H9" i="3"/>
  <c r="G9" i="3"/>
  <c r="F9" i="3"/>
  <c r="E9" i="3"/>
  <c r="D9" i="3"/>
  <c r="S7" i="3"/>
  <c r="R7" i="3"/>
  <c r="Q7" i="3"/>
  <c r="P7" i="3"/>
  <c r="O7" i="3"/>
  <c r="N7" i="3"/>
  <c r="M7" i="3"/>
  <c r="L7" i="3"/>
  <c r="K7" i="3"/>
  <c r="J7" i="3"/>
  <c r="I7" i="3"/>
  <c r="H7" i="3"/>
  <c r="G7" i="3"/>
  <c r="F7" i="3"/>
  <c r="E7" i="3"/>
  <c r="D7" i="3"/>
  <c r="S6" i="3"/>
  <c r="R6" i="3"/>
  <c r="Q6" i="3"/>
  <c r="P6" i="3"/>
  <c r="O6" i="3"/>
  <c r="N6" i="3"/>
  <c r="M6" i="3"/>
  <c r="L6" i="3"/>
  <c r="K6" i="3"/>
  <c r="J6" i="3"/>
  <c r="I6" i="3"/>
  <c r="H6" i="3"/>
  <c r="G6" i="3"/>
  <c r="F6" i="3"/>
  <c r="E6" i="3"/>
  <c r="D6" i="3"/>
  <c r="S5" i="3"/>
  <c r="R5" i="3"/>
  <c r="Q5" i="3"/>
  <c r="P5" i="3"/>
  <c r="O5" i="3"/>
  <c r="N5" i="3"/>
  <c r="M5" i="3"/>
  <c r="L5" i="3"/>
  <c r="K5" i="3"/>
  <c r="J5" i="3"/>
  <c r="I5" i="3"/>
  <c r="H5" i="3"/>
  <c r="G5" i="3"/>
  <c r="F5" i="3"/>
  <c r="E5" i="3"/>
  <c r="D5" i="3"/>
  <c r="F5" i="8"/>
  <c r="G5" i="8"/>
  <c r="H5" i="8"/>
  <c r="I5" i="8"/>
  <c r="J5" i="8"/>
  <c r="K5" i="8"/>
  <c r="L5" i="8"/>
  <c r="M5" i="8"/>
  <c r="N5" i="8"/>
  <c r="O5" i="8"/>
  <c r="P5" i="8"/>
  <c r="Q5" i="8"/>
  <c r="R5" i="8"/>
  <c r="S5" i="8"/>
  <c r="F6" i="8"/>
  <c r="G6" i="8"/>
  <c r="H6" i="8"/>
  <c r="I6" i="8"/>
  <c r="J6" i="8"/>
  <c r="K6" i="8"/>
  <c r="L6" i="8"/>
  <c r="M6" i="8"/>
  <c r="N6" i="8"/>
  <c r="O6" i="8"/>
  <c r="P6" i="8"/>
  <c r="Q6" i="8"/>
  <c r="R6" i="8"/>
  <c r="S6" i="8"/>
  <c r="F7" i="8"/>
  <c r="G7" i="8"/>
  <c r="H7" i="8"/>
  <c r="I7" i="8"/>
  <c r="J7" i="8"/>
  <c r="K7" i="8"/>
  <c r="L7" i="8"/>
  <c r="M7" i="8"/>
  <c r="N7" i="8"/>
  <c r="O7" i="8"/>
  <c r="P7" i="8"/>
  <c r="Q7" i="8"/>
  <c r="R7" i="8"/>
  <c r="S7" i="8"/>
  <c r="F9" i="8"/>
  <c r="G9" i="8"/>
  <c r="H9" i="8"/>
  <c r="I9" i="8"/>
  <c r="J9" i="8"/>
  <c r="K9" i="8"/>
  <c r="L9" i="8"/>
  <c r="M9" i="8"/>
  <c r="N9" i="8"/>
  <c r="O9" i="8"/>
  <c r="P9" i="8"/>
  <c r="Q9" i="8"/>
  <c r="R9" i="8"/>
  <c r="S9" i="8"/>
  <c r="F10" i="8"/>
  <c r="G10" i="8"/>
  <c r="H10" i="8"/>
  <c r="I10" i="8"/>
  <c r="J10" i="8"/>
  <c r="K10" i="8"/>
  <c r="L10" i="8"/>
  <c r="M10" i="8"/>
  <c r="N10" i="8"/>
  <c r="O10" i="8"/>
  <c r="P10" i="8"/>
  <c r="Q10" i="8"/>
  <c r="R10" i="8"/>
  <c r="S10" i="8"/>
  <c r="E10" i="8"/>
  <c r="D10" i="8"/>
  <c r="E9" i="8"/>
  <c r="D9" i="8"/>
  <c r="E7" i="8"/>
  <c r="D7" i="8"/>
  <c r="E6" i="8"/>
  <c r="D6" i="8"/>
  <c r="E5" i="8"/>
  <c r="D5" i="8"/>
  <c r="Q5" i="9"/>
  <c r="E5" i="9"/>
  <c r="F5" i="9"/>
  <c r="G5" i="9"/>
  <c r="H5" i="9"/>
  <c r="I5" i="9"/>
  <c r="J5" i="9"/>
  <c r="K5" i="9"/>
  <c r="L5" i="9"/>
  <c r="M5" i="9"/>
  <c r="N5" i="9"/>
  <c r="O5" i="9"/>
  <c r="R5" i="9"/>
  <c r="S5" i="9"/>
  <c r="E6" i="9"/>
  <c r="F6" i="9"/>
  <c r="G6" i="9"/>
  <c r="H6" i="9"/>
  <c r="I6" i="9"/>
  <c r="J6" i="9"/>
  <c r="K6" i="9"/>
  <c r="L6" i="9"/>
  <c r="M6" i="9"/>
  <c r="N6" i="9"/>
  <c r="O6" i="9"/>
  <c r="P6" i="9"/>
  <c r="Q6" i="9"/>
  <c r="R6" i="9"/>
  <c r="S6" i="9"/>
  <c r="E7" i="9"/>
  <c r="F7" i="9"/>
  <c r="G7" i="9"/>
  <c r="H7" i="9"/>
  <c r="I7" i="9"/>
  <c r="J7" i="9"/>
  <c r="K7" i="9"/>
  <c r="L7" i="9"/>
  <c r="M7" i="9"/>
  <c r="N7" i="9"/>
  <c r="O7" i="9"/>
  <c r="P7" i="9"/>
  <c r="Q7" i="9"/>
  <c r="R7" i="9"/>
  <c r="S7" i="9"/>
  <c r="E9" i="9"/>
  <c r="F9" i="9"/>
  <c r="G9" i="9"/>
  <c r="H9" i="9"/>
  <c r="I9" i="9"/>
  <c r="J9" i="9"/>
  <c r="K9" i="9"/>
  <c r="L9" i="9"/>
  <c r="M9" i="9"/>
  <c r="N9" i="9"/>
  <c r="O9" i="9"/>
  <c r="P9" i="9"/>
  <c r="Q9" i="9"/>
  <c r="R9" i="9"/>
  <c r="S9" i="9"/>
  <c r="E10" i="9"/>
  <c r="F10" i="9"/>
  <c r="G10" i="9"/>
  <c r="H10" i="9"/>
  <c r="I10" i="9"/>
  <c r="J10" i="9"/>
  <c r="K10" i="9"/>
  <c r="L10" i="9"/>
  <c r="M10" i="9"/>
  <c r="N10" i="9"/>
  <c r="O10" i="9"/>
  <c r="P10" i="9"/>
  <c r="Q10" i="9"/>
  <c r="R10" i="9"/>
  <c r="S10" i="9"/>
  <c r="D10" i="9"/>
  <c r="D9" i="9"/>
  <c r="D7" i="9"/>
  <c r="D6" i="9"/>
  <c r="D5" i="9"/>
  <c r="T70" i="8" l="1"/>
  <c r="T75" i="3" l="1"/>
  <c r="T17" i="3"/>
  <c r="T82" i="8"/>
  <c r="T58" i="8"/>
  <c r="T60" i="8" s="1"/>
  <c r="T48" i="8"/>
  <c r="T31" i="3" l="1"/>
  <c r="T15" i="9" s="1"/>
  <c r="T50" i="8"/>
  <c r="T84" i="8"/>
  <c r="T85" i="8" s="1"/>
  <c r="T84" i="9"/>
  <c r="T86" i="9" s="1"/>
  <c r="T78" i="9"/>
  <c r="T31" i="9"/>
  <c r="T34" i="3" l="1"/>
  <c r="T36" i="3" s="1"/>
  <c r="S84" i="9"/>
  <c r="S86" i="9" s="1"/>
  <c r="S78" i="9"/>
  <c r="S61" i="9"/>
  <c r="S31" i="9"/>
  <c r="S70" i="8"/>
  <c r="S82" i="8" l="1"/>
  <c r="S58" i="8"/>
  <c r="S60" i="8" s="1"/>
  <c r="S48" i="8"/>
  <c r="S75" i="3"/>
  <c r="S17" i="3"/>
  <c r="S31" i="3" l="1"/>
  <c r="S34" i="3" s="1"/>
  <c r="S36" i="3" s="1"/>
  <c r="S84" i="8"/>
  <c r="S85" i="8" s="1"/>
  <c r="S50" i="8"/>
  <c r="S86" i="8" s="1"/>
  <c r="F67" i="11" l="1"/>
  <c r="H67" i="11"/>
  <c r="J67" i="11"/>
  <c r="L67" i="11"/>
  <c r="N67" i="11"/>
  <c r="P67" i="11"/>
  <c r="R67" i="11"/>
  <c r="N56" i="11"/>
  <c r="L56" i="11"/>
  <c r="J56" i="11"/>
  <c r="H56" i="11"/>
  <c r="F56" i="11"/>
  <c r="P56" i="11"/>
  <c r="R56" i="11"/>
  <c r="D57" i="3"/>
  <c r="D58" i="3" s="1"/>
  <c r="E75" i="3"/>
  <c r="G74" i="3"/>
  <c r="H74" i="3"/>
  <c r="K74" i="3"/>
  <c r="O74" i="3"/>
  <c r="Q75" i="3" l="1"/>
  <c r="Q76" i="3" s="1"/>
  <c r="P76" i="3"/>
  <c r="O75" i="3"/>
  <c r="O76" i="3" s="1"/>
  <c r="N75" i="3"/>
  <c r="N76" i="3" s="1"/>
  <c r="M75" i="3"/>
  <c r="M76" i="3" s="1"/>
  <c r="L75" i="3"/>
  <c r="L76" i="3" s="1"/>
  <c r="K75" i="3"/>
  <c r="K76" i="3" s="1"/>
  <c r="J75" i="3"/>
  <c r="J76" i="3" s="1"/>
  <c r="I75" i="3"/>
  <c r="I76" i="3" s="1"/>
  <c r="H75" i="3"/>
  <c r="H76" i="3" s="1"/>
  <c r="G75" i="3"/>
  <c r="G76" i="3" s="1"/>
  <c r="F75" i="3"/>
  <c r="F76" i="3" s="1"/>
  <c r="R75" i="3"/>
  <c r="Q58" i="3"/>
  <c r="P57" i="3"/>
  <c r="P58" i="3" s="1"/>
  <c r="O57" i="3"/>
  <c r="O58" i="3" s="1"/>
  <c r="N57" i="3"/>
  <c r="N58" i="3" s="1"/>
  <c r="M57" i="3"/>
  <c r="M58" i="3" s="1"/>
  <c r="L57" i="3"/>
  <c r="L58" i="3" s="1"/>
  <c r="K57" i="3"/>
  <c r="K58" i="3" s="1"/>
  <c r="J57" i="3"/>
  <c r="J58" i="3" s="1"/>
  <c r="I57" i="3"/>
  <c r="I58" i="3" s="1"/>
  <c r="H57" i="3"/>
  <c r="G57" i="3"/>
  <c r="G58" i="3" s="1"/>
  <c r="F57" i="3"/>
  <c r="F58" i="3" s="1"/>
  <c r="E57" i="3"/>
  <c r="E58" i="3" s="1"/>
  <c r="H58" i="3" l="1"/>
  <c r="S15" i="9" l="1"/>
  <c r="G70" i="8" l="1"/>
  <c r="G58" i="8"/>
  <c r="G60" i="8" s="1"/>
  <c r="G48" i="8"/>
  <c r="G34" i="8"/>
  <c r="K82" i="8"/>
  <c r="K70" i="8"/>
  <c r="K58" i="8"/>
  <c r="K60" i="8" s="1"/>
  <c r="K48" i="8"/>
  <c r="K34" i="8"/>
  <c r="O82" i="8"/>
  <c r="O70" i="8"/>
  <c r="N70" i="8"/>
  <c r="O58" i="8"/>
  <c r="O60" i="8" s="1"/>
  <c r="O48" i="8"/>
  <c r="O34" i="8"/>
  <c r="O50" i="8" l="1"/>
  <c r="G84" i="8"/>
  <c r="G85" i="8" s="1"/>
  <c r="G50" i="8"/>
  <c r="K84" i="8"/>
  <c r="K85" i="8" s="1"/>
  <c r="K50" i="8"/>
  <c r="K86" i="8" s="1"/>
  <c r="O84" i="8"/>
  <c r="O85" i="8" s="1"/>
  <c r="G31" i="3"/>
  <c r="G15" i="9" s="1"/>
  <c r="O31" i="3"/>
  <c r="O15" i="9" s="1"/>
  <c r="K31" i="3"/>
  <c r="K15" i="9" s="1"/>
  <c r="O86" i="8" l="1"/>
  <c r="G34" i="3"/>
  <c r="G36" i="3" s="1"/>
  <c r="K34" i="3"/>
  <c r="K36" i="3" s="1"/>
  <c r="O34" i="3"/>
  <c r="O36" i="3" s="1"/>
  <c r="G31" i="9"/>
  <c r="R78" i="9" l="1"/>
  <c r="Q78" i="9"/>
  <c r="P78" i="9"/>
  <c r="O78" i="9"/>
  <c r="N78" i="9"/>
  <c r="M78" i="9"/>
  <c r="L78" i="9"/>
  <c r="K78" i="9"/>
  <c r="J78" i="9"/>
  <c r="I78" i="9"/>
  <c r="H78" i="9"/>
  <c r="G78" i="9"/>
  <c r="F78" i="9"/>
  <c r="E78" i="9"/>
  <c r="D78" i="9"/>
  <c r="R61" i="9"/>
  <c r="Q61" i="9"/>
  <c r="P61" i="9"/>
  <c r="O61" i="9"/>
  <c r="N61" i="9"/>
  <c r="M61" i="9"/>
  <c r="L61" i="9"/>
  <c r="K61" i="9"/>
  <c r="J61" i="9"/>
  <c r="I61" i="9"/>
  <c r="H61" i="9"/>
  <c r="G61" i="9"/>
  <c r="F61" i="9"/>
  <c r="E61" i="9"/>
  <c r="D61" i="9"/>
  <c r="R31" i="9"/>
  <c r="Q31" i="9"/>
  <c r="P31" i="9"/>
  <c r="O31" i="9"/>
  <c r="N31" i="9"/>
  <c r="M31" i="9"/>
  <c r="L31" i="9"/>
  <c r="K31" i="9"/>
  <c r="J31" i="9"/>
  <c r="I31" i="9"/>
  <c r="H31" i="9"/>
  <c r="F31" i="9"/>
  <c r="E31" i="9"/>
  <c r="D31" i="9"/>
  <c r="L80" i="9" l="1"/>
  <c r="L84" i="9" s="1"/>
  <c r="L86" i="9" s="1"/>
  <c r="M80" i="9"/>
  <c r="M84" i="9" s="1"/>
  <c r="M86" i="9" s="1"/>
  <c r="H80" i="9"/>
  <c r="H84" i="9" s="1"/>
  <c r="H86" i="9" s="1"/>
  <c r="P80" i="9"/>
  <c r="P84" i="9" s="1"/>
  <c r="P86" i="9" s="1"/>
  <c r="K80" i="9"/>
  <c r="K84" i="9" s="1"/>
  <c r="K86" i="9" s="1"/>
  <c r="D80" i="9"/>
  <c r="D84" i="9" s="1"/>
  <c r="E80" i="9"/>
  <c r="E84" i="9" s="1"/>
  <c r="E86" i="9" s="1"/>
  <c r="F80" i="9"/>
  <c r="F84" i="9" s="1"/>
  <c r="G80" i="9"/>
  <c r="G84" i="9" s="1"/>
  <c r="G86" i="9" s="1"/>
  <c r="J80" i="9"/>
  <c r="J84" i="9" s="1"/>
  <c r="J86" i="9" s="1"/>
  <c r="I80" i="9"/>
  <c r="I84" i="9" s="1"/>
  <c r="I86" i="9" s="1"/>
  <c r="Q80" i="9"/>
  <c r="Q84" i="9" s="1"/>
  <c r="Q86" i="9" s="1"/>
  <c r="R80" i="9"/>
  <c r="R84" i="9" s="1"/>
  <c r="R86" i="9" s="1"/>
  <c r="N80" i="9"/>
  <c r="N84" i="9" s="1"/>
  <c r="N86" i="9" s="1"/>
  <c r="O80" i="9"/>
  <c r="O84" i="9" s="1"/>
  <c r="O86" i="9" s="1"/>
  <c r="E82" i="8"/>
  <c r="E70" i="8"/>
  <c r="E58" i="8"/>
  <c r="E60" i="8" s="1"/>
  <c r="E48" i="8"/>
  <c r="E34" i="8"/>
  <c r="E84" i="8" l="1"/>
  <c r="E85" i="8" s="1"/>
  <c r="E50" i="8"/>
  <c r="H70" i="8"/>
  <c r="I70" i="8"/>
  <c r="J70" i="8"/>
  <c r="L70" i="8"/>
  <c r="M70" i="8"/>
  <c r="P70" i="8"/>
  <c r="Q70" i="8"/>
  <c r="R70" i="8"/>
  <c r="H82" i="8"/>
  <c r="I82" i="8"/>
  <c r="J82" i="8"/>
  <c r="L82" i="8"/>
  <c r="M82" i="8"/>
  <c r="N82" i="8"/>
  <c r="P82" i="8"/>
  <c r="Q82" i="8"/>
  <c r="R82" i="8"/>
  <c r="R58" i="8"/>
  <c r="H58" i="8" l="1"/>
  <c r="H60" i="8" s="1"/>
  <c r="I58" i="8"/>
  <c r="I60" i="8" s="1"/>
  <c r="J58" i="8"/>
  <c r="J60" i="8" s="1"/>
  <c r="L58" i="8"/>
  <c r="L60" i="8" s="1"/>
  <c r="M58" i="8"/>
  <c r="M60" i="8" s="1"/>
  <c r="N58" i="8"/>
  <c r="N60" i="8" s="1"/>
  <c r="P58" i="8"/>
  <c r="P60" i="8" s="1"/>
  <c r="Q58" i="8"/>
  <c r="Q60" i="8" s="1"/>
  <c r="R60" i="8"/>
  <c r="H34" i="8"/>
  <c r="I34" i="8"/>
  <c r="J34" i="8"/>
  <c r="L34" i="8"/>
  <c r="N34" i="8"/>
  <c r="P34" i="8"/>
  <c r="H48" i="8"/>
  <c r="I48" i="8"/>
  <c r="J48" i="8"/>
  <c r="L48" i="8"/>
  <c r="M48" i="8"/>
  <c r="N48" i="8"/>
  <c r="P48" i="8"/>
  <c r="Q48" i="8"/>
  <c r="R48" i="8"/>
  <c r="R34" i="8"/>
  <c r="R84" i="8"/>
  <c r="H84" i="8"/>
  <c r="I84" i="8"/>
  <c r="J84" i="8"/>
  <c r="L84" i="8"/>
  <c r="M84" i="8"/>
  <c r="N84" i="8"/>
  <c r="P84" i="8"/>
  <c r="Q84" i="8"/>
  <c r="H50" i="8" l="1"/>
  <c r="M50" i="8"/>
  <c r="R50" i="8"/>
  <c r="L50" i="8"/>
  <c r="Q50" i="8"/>
  <c r="J50" i="8"/>
  <c r="P50" i="8"/>
  <c r="N50" i="8"/>
  <c r="I50" i="8"/>
  <c r="J85" i="8"/>
  <c r="P85" i="8"/>
  <c r="I85" i="8"/>
  <c r="N85" i="8"/>
  <c r="L85" i="8"/>
  <c r="Q85" i="8"/>
  <c r="M85" i="8"/>
  <c r="R85" i="8"/>
  <c r="H85" i="8"/>
  <c r="E16" i="3"/>
  <c r="D17" i="3"/>
  <c r="D31" i="3" s="1"/>
  <c r="D15" i="9" s="1"/>
  <c r="F17" i="3"/>
  <c r="F31" i="3" s="1"/>
  <c r="F15" i="9" s="1"/>
  <c r="H17" i="3"/>
  <c r="H31" i="3" s="1"/>
  <c r="H34" i="3" s="1"/>
  <c r="I17" i="3"/>
  <c r="I31" i="3" s="1"/>
  <c r="I34" i="3" s="1"/>
  <c r="J17" i="3"/>
  <c r="J31" i="3" s="1"/>
  <c r="J34" i="3" s="1"/>
  <c r="L17" i="3"/>
  <c r="L31" i="3" s="1"/>
  <c r="M17" i="3"/>
  <c r="M31" i="3" s="1"/>
  <c r="N17" i="3"/>
  <c r="N31" i="3" s="1"/>
  <c r="P17" i="3"/>
  <c r="P31" i="3" s="1"/>
  <c r="R17" i="3"/>
  <c r="R31" i="3" s="1"/>
  <c r="E17" i="3" l="1"/>
  <c r="E31" i="3" s="1"/>
  <c r="E15" i="9" s="1"/>
  <c r="E76" i="3"/>
  <c r="R15" i="9"/>
  <c r="R34" i="3"/>
  <c r="R36" i="3" s="1"/>
  <c r="P15" i="9"/>
  <c r="P34" i="3"/>
  <c r="P36" i="3" s="1"/>
  <c r="M15" i="9"/>
  <c r="M34" i="3"/>
  <c r="M36" i="3" s="1"/>
  <c r="N15" i="9"/>
  <c r="N34" i="3"/>
  <c r="L15" i="9"/>
  <c r="L34" i="3"/>
  <c r="L36" i="3" s="1"/>
  <c r="J36" i="3"/>
  <c r="J15" i="9"/>
  <c r="I36" i="3"/>
  <c r="I15" i="9"/>
  <c r="F34" i="3"/>
  <c r="F36" i="3" s="1"/>
  <c r="H36" i="3"/>
  <c r="H15" i="9"/>
  <c r="D34" i="3"/>
  <c r="D36" i="3" s="1"/>
  <c r="E34" i="3" l="1"/>
  <c r="E36" i="3" s="1"/>
  <c r="Q17" i="3"/>
  <c r="Q31" i="3" s="1"/>
  <c r="Q15" i="9" l="1"/>
  <c r="Q34" i="3"/>
  <c r="Q36" i="3" s="1"/>
  <c r="N36" i="3"/>
  <c r="I17"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Aydar Sarsembaev</author>
  </authors>
  <commentList>
    <comment ref="Y64" authorId="0" shapeId="0" xr:uid="{00000000-0006-0000-0200-000001000000}">
      <text>
        <r>
          <rPr>
            <b/>
            <sz val="9"/>
            <color indexed="81"/>
            <rFont val="Tahoma"/>
            <family val="2"/>
            <charset val="204"/>
          </rPr>
          <t>Aydar Sarsembaev:</t>
        </r>
        <r>
          <rPr>
            <sz val="9"/>
            <color indexed="81"/>
            <rFont val="Tahoma"/>
            <family val="2"/>
            <charset val="204"/>
          </rPr>
          <t xml:space="preserve">
*</t>
        </r>
      </text>
    </comment>
    <comment ref="Y68" authorId="0" shapeId="0" xr:uid="{00000000-0006-0000-0200-000002000000}">
      <text>
        <r>
          <rPr>
            <b/>
            <sz val="9"/>
            <color indexed="81"/>
            <rFont val="Tahoma"/>
            <family val="2"/>
            <charset val="204"/>
          </rPr>
          <t>Aydar Sarsembaev:</t>
        </r>
        <r>
          <rPr>
            <sz val="9"/>
            <color indexed="81"/>
            <rFont val="Tahoma"/>
            <family val="2"/>
            <charset val="204"/>
          </rPr>
          <t xml:space="preserve">
*</t>
        </r>
      </text>
    </comment>
  </commentList>
</comments>
</file>

<file path=xl/sharedStrings.xml><?xml version="1.0" encoding="utf-8"?>
<sst xmlns="http://schemas.openxmlformats.org/spreadsheetml/2006/main" count="955" uniqueCount="374">
  <si>
    <t>Reserves</t>
  </si>
  <si>
    <t>Total</t>
  </si>
  <si>
    <t>Revenues</t>
  </si>
  <si>
    <t>COGS</t>
  </si>
  <si>
    <t>Gross profit</t>
  </si>
  <si>
    <t>Finance income</t>
  </si>
  <si>
    <t>Finance costs</t>
  </si>
  <si>
    <t>Profit before tax</t>
  </si>
  <si>
    <t>Net (impairment losses)/reversal of impairment on financial assets</t>
  </si>
  <si>
    <t>Net (impairment losses)/reversal of impairment on non-financial assets</t>
  </si>
  <si>
    <t>Net foreign exchange gain/(loss)</t>
  </si>
  <si>
    <t>Gain from disposal of joint venture</t>
  </si>
  <si>
    <t>Other income</t>
  </si>
  <si>
    <t>Other expenses</t>
  </si>
  <si>
    <t>Share of results of associates</t>
  </si>
  <si>
    <t>Share of results of joint ventures</t>
  </si>
  <si>
    <t>Corporate income tax</t>
  </si>
  <si>
    <t>Profit for the period</t>
  </si>
  <si>
    <t>KZTm</t>
  </si>
  <si>
    <t>Total comprehensive income for the period, net of tax</t>
  </si>
  <si>
    <t>INCOME STATEMENT (P&amp;L)</t>
  </si>
  <si>
    <t>Operating Income (before income tax)</t>
  </si>
  <si>
    <t>Adjusted profit for the period</t>
  </si>
  <si>
    <t>BALANCE SHEET</t>
  </si>
  <si>
    <t>ASSETS</t>
  </si>
  <si>
    <t>Non-current assets</t>
  </si>
  <si>
    <t>Property, plant and equipment</t>
  </si>
  <si>
    <t>Intangible assets</t>
  </si>
  <si>
    <t>Investments in joint ventures</t>
  </si>
  <si>
    <t>Investments in associate</t>
  </si>
  <si>
    <t>Total non-current assets</t>
  </si>
  <si>
    <t>Current assets</t>
  </si>
  <si>
    <t>Inventories</t>
  </si>
  <si>
    <t>Income taxes prepaid</t>
  </si>
  <si>
    <t>Cash and cash equivalents</t>
  </si>
  <si>
    <t>Total current assets</t>
  </si>
  <si>
    <t>Total assets</t>
  </si>
  <si>
    <t>EQUITY</t>
  </si>
  <si>
    <t>Share capital</t>
  </si>
  <si>
    <t>Retained earnings</t>
  </si>
  <si>
    <t>Total equity</t>
  </si>
  <si>
    <t>LIABILITIES</t>
  </si>
  <si>
    <t>Non-current liabilities</t>
  </si>
  <si>
    <t>Provisions</t>
  </si>
  <si>
    <t>Total non-current liabilities</t>
  </si>
  <si>
    <t>Current liabilities</t>
  </si>
  <si>
    <t>Dividends payable</t>
  </si>
  <si>
    <t>Total current liabilities</t>
  </si>
  <si>
    <t>Total liabilities</t>
  </si>
  <si>
    <t>Total liabilities and equity</t>
  </si>
  <si>
    <t>Income tax paid</t>
  </si>
  <si>
    <t>Interest received</t>
  </si>
  <si>
    <t>Dividends paid to Company’s shareholders</t>
  </si>
  <si>
    <t>Interest paid</t>
  </si>
  <si>
    <t>Cash and cash equivalents at beginning of the period</t>
  </si>
  <si>
    <t>Cash and cash equivalents at end of the period</t>
  </si>
  <si>
    <t>Free float</t>
  </si>
  <si>
    <t>JSC Samruk Kazyna</t>
  </si>
  <si>
    <t>DISTRIBUTION TO SHAREHOLDERS</t>
  </si>
  <si>
    <t>Dividends to shareholders</t>
  </si>
  <si>
    <t>KZT/share</t>
  </si>
  <si>
    <t>US$m</t>
  </si>
  <si>
    <t>US$/GDR</t>
  </si>
  <si>
    <t>GDR price on LSE</t>
  </si>
  <si>
    <t>High</t>
  </si>
  <si>
    <t>Low</t>
  </si>
  <si>
    <t>Average for the period</t>
  </si>
  <si>
    <t>End of period</t>
  </si>
  <si>
    <t>Mine development assets</t>
  </si>
  <si>
    <t>Mineral rights</t>
  </si>
  <si>
    <t>Exploration and evaluation assets</t>
  </si>
  <si>
    <t>Investment property</t>
  </si>
  <si>
    <t>KZT, end-of-period</t>
  </si>
  <si>
    <t>KZT, average</t>
  </si>
  <si>
    <t>REVENUE BREAKDOWN</t>
  </si>
  <si>
    <t>MACRO PARAMETERS</t>
  </si>
  <si>
    <t>STATEMENT OF CASH FLOW</t>
  </si>
  <si>
    <t xml:space="preserve">Basis of preparation </t>
  </si>
  <si>
    <t>Disclaimer</t>
  </si>
  <si>
    <t>Databook</t>
  </si>
  <si>
    <t>Abbreviations list</t>
  </si>
  <si>
    <t>JSC</t>
  </si>
  <si>
    <t>JV</t>
  </si>
  <si>
    <t>- Joint venture</t>
  </si>
  <si>
    <t>RK</t>
  </si>
  <si>
    <t>- Republic of Kazakhstan</t>
  </si>
  <si>
    <t>SK</t>
  </si>
  <si>
    <t>- Samruk-Kazyna</t>
  </si>
  <si>
    <t>KAP</t>
  </si>
  <si>
    <t>- Kazatomprom</t>
  </si>
  <si>
    <t xml:space="preserve">NBK </t>
  </si>
  <si>
    <t>- National Bank of Kazakhstan</t>
  </si>
  <si>
    <t>MARKET PERFORMANCE</t>
  </si>
  <si>
    <t>SHAREHOLDER STRUCTURE</t>
  </si>
  <si>
    <t xml:space="preserve">Content </t>
  </si>
  <si>
    <t>Basis of preparation &amp; Disclaimer</t>
  </si>
  <si>
    <t>Consolidated Statement of Financial Position</t>
  </si>
  <si>
    <t>Equity</t>
  </si>
  <si>
    <t>Reference list</t>
  </si>
  <si>
    <t>Uranium, average realized price of the Group</t>
  </si>
  <si>
    <t>-</t>
  </si>
  <si>
    <t>6M 2021</t>
  </si>
  <si>
    <t>3M 2021</t>
  </si>
  <si>
    <t>9M 2021</t>
  </si>
  <si>
    <t>6M 2020</t>
  </si>
  <si>
    <t>3M 2018</t>
  </si>
  <si>
    <t>6M 2018</t>
  </si>
  <si>
    <t>9M 2018</t>
  </si>
  <si>
    <t>3M 2019</t>
  </si>
  <si>
    <t>6M 2019</t>
  </si>
  <si>
    <t>9M 2019</t>
  </si>
  <si>
    <t>3M 2020</t>
  </si>
  <si>
    <t>9M 2020</t>
  </si>
  <si>
    <t xml:space="preserve">Profit from discontinued operations </t>
  </si>
  <si>
    <t>Loans to related parties</t>
  </si>
  <si>
    <t xml:space="preserve">Accounts payable </t>
  </si>
  <si>
    <t xml:space="preserve">Other investments </t>
  </si>
  <si>
    <t>Financial derivative asset</t>
  </si>
  <si>
    <t xml:space="preserve">Accounts receivable </t>
  </si>
  <si>
    <t xml:space="preserve">Loans to related parties </t>
  </si>
  <si>
    <t>Assets of disposal groups classified as held for sale</t>
  </si>
  <si>
    <t xml:space="preserve">Additional paid-in capital </t>
  </si>
  <si>
    <t xml:space="preserve">Non-contoliing interest </t>
  </si>
  <si>
    <t>Deferred tax liabilities</t>
  </si>
  <si>
    <t>Liabilities of disposal groups classified as held for sale</t>
  </si>
  <si>
    <t>Right-of-use assets</t>
  </si>
  <si>
    <t>Other current assets</t>
  </si>
  <si>
    <t>Employee benefits</t>
  </si>
  <si>
    <t>Other non-current liabilities</t>
  </si>
  <si>
    <t>Other current liabilities</t>
  </si>
  <si>
    <t>Term deposits</t>
  </si>
  <si>
    <t xml:space="preserve">Income tax liabilites </t>
  </si>
  <si>
    <t>i</t>
  </si>
  <si>
    <t>Operating activities</t>
  </si>
  <si>
    <t>VAT refund</t>
  </si>
  <si>
    <t>Payments to employees</t>
  </si>
  <si>
    <t>Other tax paid</t>
  </si>
  <si>
    <t>Other</t>
  </si>
  <si>
    <t>Cash flow from operating activities</t>
  </si>
  <si>
    <t>Investing activities</t>
  </si>
  <si>
    <t>Acquisition of PPE</t>
  </si>
  <si>
    <t>Advance paid for PPE</t>
  </si>
  <si>
    <t>Acquisition of intangible assets</t>
  </si>
  <si>
    <t>Acquisition of mine development assets</t>
  </si>
  <si>
    <t>Acquisition of exploration and evaluation assets</t>
  </si>
  <si>
    <t>Placement of term deposits and restricted cash</t>
  </si>
  <si>
    <t>Proceeds from sale of a subsidiaries</t>
  </si>
  <si>
    <t>Repayment of loans</t>
  </si>
  <si>
    <t>Sale of investment in subsidiary</t>
  </si>
  <si>
    <t>Dividends received from associates, joint ventures and other investments</t>
  </si>
  <si>
    <t xml:space="preserve">Issuance of loans </t>
  </si>
  <si>
    <t>Cash contributions to the capital of joint ventures</t>
  </si>
  <si>
    <t>Cash of disposed subsidiary</t>
  </si>
  <si>
    <t>Cash flow from investing activities</t>
  </si>
  <si>
    <t>Financing activities</t>
  </si>
  <si>
    <t>Proceeds from bonds</t>
  </si>
  <si>
    <t>Repayment of bonds</t>
  </si>
  <si>
    <t>Lease payments</t>
  </si>
  <si>
    <t>Proceeds from sale of share in subsidiary</t>
  </si>
  <si>
    <t>Dividends paid by subsidiaries to other participants</t>
  </si>
  <si>
    <t>Rent expenses</t>
  </si>
  <si>
    <t>Cash flow used in financing activities</t>
  </si>
  <si>
    <t>Net increase in cash and cash equivalents</t>
  </si>
  <si>
    <t>Effect of exchange rate fluctuations on cash and cash equivalents</t>
  </si>
  <si>
    <t>Change in impairment provision for cash and cash equivalents</t>
  </si>
  <si>
    <t>Proceeds from loans and borrowings</t>
  </si>
  <si>
    <t>Repayment of loans and borrowings</t>
  </si>
  <si>
    <t>UxC</t>
  </si>
  <si>
    <t>US$/lb U3O8</t>
  </si>
  <si>
    <t>Adjusted EBITDA</t>
  </si>
  <si>
    <t>Kazatomprom Proved and Probabale Reserves</t>
  </si>
  <si>
    <t>000 t of UME</t>
  </si>
  <si>
    <t>tU as U3O8</t>
  </si>
  <si>
    <t>C1 cash cost (attributable basis)</t>
  </si>
  <si>
    <t>US$/lb</t>
  </si>
  <si>
    <t>TradeTech</t>
  </si>
  <si>
    <t>- Nuclear industry’s market research and analysis company</t>
  </si>
  <si>
    <t>Sales of tantalum products</t>
  </si>
  <si>
    <t>Sales of purchased goods and other products</t>
  </si>
  <si>
    <t>Sales of other services</t>
  </si>
  <si>
    <t>Drilling services</t>
  </si>
  <si>
    <t>Transportation services</t>
  </si>
  <si>
    <t>Total revenue</t>
  </si>
  <si>
    <t>Materials and supplies</t>
  </si>
  <si>
    <t>Depreciation and amortisation</t>
  </si>
  <si>
    <t>Wages and salaries</t>
  </si>
  <si>
    <t>Taxes other than income tax</t>
  </si>
  <si>
    <t>Processing and other sevices</t>
  </si>
  <si>
    <t>Maintenance and repair</t>
  </si>
  <si>
    <t>Utilities</t>
  </si>
  <si>
    <t>COST OF SALES BREAKDOWN</t>
  </si>
  <si>
    <t>Sales of beryllium products</t>
  </si>
  <si>
    <t>Research and development</t>
  </si>
  <si>
    <t>Sales of materials and other goods</t>
  </si>
  <si>
    <t>not disclosed</t>
  </si>
  <si>
    <t>Other non-current assets</t>
  </si>
  <si>
    <t>Other taxes and payments to budget</t>
  </si>
  <si>
    <t>Total tax accrued</t>
  </si>
  <si>
    <t>Shipping, transportation and storing</t>
  </si>
  <si>
    <t>Materials</t>
  </si>
  <si>
    <t>Rent</t>
  </si>
  <si>
    <t>Others</t>
  </si>
  <si>
    <t xml:space="preserve">Total </t>
  </si>
  <si>
    <t>Proceeds from disposal of PPE</t>
  </si>
  <si>
    <t>no data</t>
  </si>
  <si>
    <t>Ordinary shares and GDRs</t>
  </si>
  <si>
    <t>Uranium, average month-end spot price</t>
  </si>
  <si>
    <t>Consolidated Financial Statements</t>
  </si>
  <si>
    <t>Consolidated Statement of Profit &amp; Loss and Other comprehensive income</t>
  </si>
  <si>
    <t>Consolidated Statement of Cash Flows - direct method</t>
  </si>
  <si>
    <t>Capital expenditure of mining companies (100% basis)</t>
  </si>
  <si>
    <t>Ortalyk LLP</t>
  </si>
  <si>
    <t>RU-6 LLP</t>
  </si>
  <si>
    <t>JV Inkai LLP</t>
  </si>
  <si>
    <t>Kazatomprom-SaUran LLP</t>
  </si>
  <si>
    <t>Appak LLP</t>
  </si>
  <si>
    <t>JV Katco LLP</t>
  </si>
  <si>
    <t>Semizbay-U LLP</t>
  </si>
  <si>
    <t>JV Zarechnoye JSC</t>
  </si>
  <si>
    <t>Baiken-U LLP</t>
  </si>
  <si>
    <t>Karatau LLP</t>
  </si>
  <si>
    <t>JV Akbastau JSC</t>
  </si>
  <si>
    <t>JV SMCC LLP</t>
  </si>
  <si>
    <t xml:space="preserve">This Databook is prepared based on the consolidated financial statements of JSC National Atomic Company "Kazatomprom" ("Kazatomprom", "KAP" or "the Company") issued for the corresponding periods. Kazatomprom prepares its consolidated financial statements on the basis of International Financial Reporting Standards (IFRS) as issued by the International Accounting Standards Board (IASB). Items included in the financial statements of each of the Group's entities included in Kazatomprom’s consolidated financial statements are measured using the currency of the primary economic environment in which the entities operate ("the functional currency"). The consolidated financial statements are presented in Kazakhstan tenge ("tenge" or "KZT"), which is the Company's functional currency.  </t>
  </si>
  <si>
    <t>6M2020</t>
  </si>
  <si>
    <t>6M2021</t>
  </si>
  <si>
    <t>6M2019</t>
  </si>
  <si>
    <t>3M 2022</t>
  </si>
  <si>
    <t>Reserves/Production/Sales/Inventory</t>
  </si>
  <si>
    <t>Total cost of sales</t>
  </si>
  <si>
    <t>National Atomic Company "Kazatomprom"</t>
  </si>
  <si>
    <t xml:space="preserve">Joint Stock Company </t>
  </si>
  <si>
    <t>Operational &amp; Cost Metrics</t>
  </si>
  <si>
    <t>KAP share, %</t>
  </si>
  <si>
    <t>All-in sustaining cash cost (attributable C1 + capital cost)</t>
  </si>
  <si>
    <t>UME</t>
  </si>
  <si>
    <t>3M2018</t>
  </si>
  <si>
    <t>6M2018</t>
  </si>
  <si>
    <t>3M2019</t>
  </si>
  <si>
    <t>9M2019</t>
  </si>
  <si>
    <t>3M2020</t>
  </si>
  <si>
    <t>9M2020</t>
  </si>
  <si>
    <t>3M2021</t>
  </si>
  <si>
    <t>9M2021</t>
  </si>
  <si>
    <t>Proceeds from disposal of subsidiary net of cash and cash equivalents of disposed of subsidiries</t>
  </si>
  <si>
    <t>Contribution to other investments</t>
  </si>
  <si>
    <t>VAT receivable</t>
  </si>
  <si>
    <t>- Uranium metal content equivalent</t>
  </si>
  <si>
    <t>USD/KZT</t>
  </si>
  <si>
    <t>Uranium, average realized price of Kazatomprom</t>
  </si>
  <si>
    <t>Earnings per share (basic and diluted)</t>
  </si>
  <si>
    <t>Loans and borrowings</t>
  </si>
  <si>
    <t>Mineral extraction tax (MET)</t>
  </si>
  <si>
    <t>- Joint Stock Company</t>
  </si>
  <si>
    <t>KZT</t>
  </si>
  <si>
    <t>Acquisition of interest in associates and joint ventures</t>
  </si>
  <si>
    <t>shares</t>
  </si>
  <si>
    <t>Total number of ordinary shares</t>
  </si>
  <si>
    <t>Note: 1 GDR represents 1 ordinary share</t>
  </si>
  <si>
    <t xml:space="preserve">Uranium purchases from its JVs and associates </t>
  </si>
  <si>
    <t>Production volume (100% basis)</t>
  </si>
  <si>
    <t>Production volume (attributable basis)</t>
  </si>
  <si>
    <t>Uranium purchases from its JOs and subsidiaries</t>
  </si>
  <si>
    <t>Distribution expenses</t>
  </si>
  <si>
    <t>General and administrative expenses</t>
  </si>
  <si>
    <t>INDUSTRY</t>
  </si>
  <si>
    <t xml:space="preserve">C1 CASH COST, ALL-IN SUSTAINING CASH COST, CAPITAL EXPENDETURE </t>
  </si>
  <si>
    <t>TAXATION &amp; MET</t>
  </si>
  <si>
    <t>Sales volume (attributable to Kazatomprom)</t>
  </si>
  <si>
    <t>Sales volume (consolidated, Group)</t>
  </si>
  <si>
    <t xml:space="preserve">Inventory of finished goods (consolidated, Group) </t>
  </si>
  <si>
    <t>Inventory of finished goods  (attributable to Kazatomprom)</t>
  </si>
  <si>
    <t>SELLING EXPENSES</t>
  </si>
  <si>
    <t>6M 2022</t>
  </si>
  <si>
    <t>Write-off of inventories to net realizable value</t>
  </si>
  <si>
    <t>Acquisition of Eurobonds</t>
  </si>
  <si>
    <t>Capital cost (attributable basis)</t>
  </si>
  <si>
    <t>Sales of uranium*</t>
  </si>
  <si>
    <t>Sales of uranium products*</t>
  </si>
  <si>
    <t>Transportation expenses</t>
  </si>
  <si>
    <t>(tU)</t>
  </si>
  <si>
    <t>Zarechnoye</t>
  </si>
  <si>
    <t>Ortalyk</t>
  </si>
  <si>
    <t>RU-6</t>
  </si>
  <si>
    <t>Appak</t>
  </si>
  <si>
    <t>Inkai</t>
  </si>
  <si>
    <t>Semizbay-U</t>
  </si>
  <si>
    <t>Karatau</t>
  </si>
  <si>
    <t>Akbastau</t>
  </si>
  <si>
    <t>Katko</t>
  </si>
  <si>
    <t>SMCC</t>
  </si>
  <si>
    <t>Baiken-U</t>
  </si>
  <si>
    <t>Kazatomprom-SaUran</t>
  </si>
  <si>
    <t xml:space="preserve">MINING ENTITY'S TOTAL PRODUCTION </t>
  </si>
  <si>
    <t>Mining Entities</t>
  </si>
  <si>
    <t>9M 2022</t>
  </si>
  <si>
    <t>CPR</t>
  </si>
  <si>
    <t>- Competent Persons' Report on the Mineral Assets of JSC "NAC "Kazatomprom", Republic of Kazakhstan</t>
  </si>
  <si>
    <t>Deferred tax assets</t>
  </si>
  <si>
    <t>9M2022</t>
  </si>
  <si>
    <t xml:space="preserve">*3M and 9M data (operating and trading results) based on Kazatomprom Operations and Trading Update press-release, and may be subject to change </t>
  </si>
  <si>
    <t>*Source: uranium - TradeTech, UXC, KZT - National Bank of Kazakhstan</t>
  </si>
  <si>
    <t>*Sources: uranium - TradeTech, UXC, Company's data, KZT - National Bank of Kazakhstan</t>
  </si>
  <si>
    <t>CPR Production Profiles</t>
  </si>
  <si>
    <t>Uranium, average weekly price</t>
  </si>
  <si>
    <t>Uranium, average weekly spot price</t>
  </si>
  <si>
    <t>29.95</t>
  </si>
  <si>
    <t>Other financial assets</t>
  </si>
  <si>
    <t>Other non-financial assets</t>
  </si>
  <si>
    <t>Payment held as restricted funds</t>
  </si>
  <si>
    <t>Compensation paid under subsoil use agreement</t>
  </si>
  <si>
    <t>Social payments</t>
  </si>
  <si>
    <t>Acquisition of equity investments</t>
  </si>
  <si>
    <t>Acquisition of long-term debt securities</t>
  </si>
  <si>
    <t>Dividends paid to non-controlling interest</t>
  </si>
  <si>
    <t>Payments under lease</t>
  </si>
  <si>
    <t>Commissions</t>
  </si>
  <si>
    <t>*Certain amounts in the consolidated statement of financial position as at 31 December 2022 have been reclassified</t>
  </si>
  <si>
    <t>Other financial assets*</t>
  </si>
  <si>
    <t>3M2023</t>
  </si>
  <si>
    <t>3М2023</t>
  </si>
  <si>
    <t>6M 2023</t>
  </si>
  <si>
    <t>JV Budenovskoe LLP</t>
  </si>
  <si>
    <t>9M2023</t>
  </si>
  <si>
    <t>454, 56</t>
  </si>
  <si>
    <t>21 112*</t>
  </si>
  <si>
    <t>* rounded</t>
  </si>
  <si>
    <t>Liabilities for other taxes and compulsory payments</t>
  </si>
  <si>
    <t>Other receipts/(payments), net</t>
  </si>
  <si>
    <t>Cash receipts from customers, including receipts under swap transactions</t>
  </si>
  <si>
    <t>Payments to suppliers, including payments under swap transactions</t>
  </si>
  <si>
    <t>* Comparative information was restated to present processing services for production of enriched uranium separately from materials in line with presentation of cost of sales in the consolidated financial statements for the year ended 31 December 2023</t>
  </si>
  <si>
    <t>3M2024</t>
  </si>
  <si>
    <t xml:space="preserve">Acquisition of subsidiary, net of cash acquired </t>
  </si>
  <si>
    <t>Gain from business combinations</t>
  </si>
  <si>
    <t>Other comprehensive income/(loss) for the period, net of tax</t>
  </si>
  <si>
    <t>6M2024</t>
  </si>
  <si>
    <t>Ministry of Finance of the Republic of Kazakhstan*</t>
  </si>
  <si>
    <t>9M2024</t>
  </si>
  <si>
    <t>Turanium (JV Khorassan-U) LLP</t>
  </si>
  <si>
    <t>Sales of photovoltaic cells</t>
  </si>
  <si>
    <t>Dividends declared during the year - Tg/share</t>
  </si>
  <si>
    <t>Dividends declared during the year - $/GDR</t>
  </si>
  <si>
    <t>Dividends paid during the year - KZTm</t>
  </si>
  <si>
    <t>Dividends paid during the year - US$m</t>
  </si>
  <si>
    <t>*Please note that dividends declared during the year are dividends distributed for the results of the preceding fiscal year, hence the check in this row is offset by one year</t>
  </si>
  <si>
    <r>
      <t>* a</t>
    </r>
    <r>
      <rPr>
        <i/>
        <sz val="8"/>
        <color theme="1"/>
        <rFont val="Arial"/>
        <family val="2"/>
        <charset val="204"/>
      </rPr>
      <t>s of 20 July 2024 an off-market transaction between the National Bank of Kazakhstan and Samruk-Kazyna JSC involving the transfer of Kazatomprom shares to the National Fund of Kazakhstan was completed.</t>
    </r>
    <r>
      <rPr>
        <i/>
        <sz val="9"/>
        <color theme="1"/>
        <rFont val="Arial"/>
        <family val="2"/>
        <charset val="204"/>
      </rPr>
      <t xml:space="preserve">
In 2025, the National Bank of Kazakhstan and Samruk-Kazyna JSC signed a trust management agreement
https://kz.kursiv.media/2025-03-13/fvfv-natbank-kmg-kap-zaaachem/</t>
    </r>
  </si>
  <si>
    <t>3M2025</t>
  </si>
  <si>
    <t>Sale of investment in joint venture/Investments in associated and joint ventures</t>
  </si>
  <si>
    <t>KAZATOMPROM PRODUCTION PROFILE AS PER 2025 CPR REPORT - NOT GUIDANCE</t>
  </si>
  <si>
    <t>Turanium</t>
  </si>
  <si>
    <t>Budenovskoye</t>
  </si>
  <si>
    <t>6M2025</t>
  </si>
  <si>
    <t>2025-2057*</t>
  </si>
  <si>
    <t>Receipts from joint operations</t>
  </si>
  <si>
    <t>Sales of enriched uranium**</t>
  </si>
  <si>
    <t>Sales of processing services***</t>
  </si>
  <si>
    <t>* Starting from 1H2022 U3O8 sales proceeds disclosed as "Sales of uranium", "Sales of uranium products" includes, but is not limited to production and sales of UO2 powder and fuel pellets. "Uranium products" in FS of previous periods (except 1H2021 and 9M2022) includes both U3O8 sales proceeds and uranium products sales proceeds</t>
  </si>
  <si>
    <t>*** Starting from 2024 the management decided to improve presentation of revenue items by separating "Sales of processing services" from the sales of the product itself, comparative amounts were regrouped accordingly</t>
  </si>
  <si>
    <t>** From the middle of 2023 the Group sells enriched uranium and uranium tablets production services to Ulba-FA LLP</t>
  </si>
  <si>
    <t xml:space="preserve">The information and data from this document (“the Information”) does not constitute or form part of, and should not be construed as an offer or the solicitation of an offer to subscribe for or purchase the Company’s securities, and nothing contained therein shall form the basis of or be relied on in connection with any contract or commitment whatsoever, nor does it constitute a recommendation regarding the Company’s securities. No representation, warranty or undertaking, express or implied, is made as to, and no reliance should be placed on, the fairness, accuracy, completeness or correctness of the Information. The Information has not been and will not be independently verified. The Company expressly disclaims any obligation or undertaking to disseminate any updates or revisions to the Information, and will not publicly release any revisions it may make to the Information. In case of any discrepancies with the original sources of the Information, the consolidated financial statements of JSC National Atomic Company "Kazatomprom" issued for the corresponding periods, please refer to the corresponding financial statements published on the Company’s website. </t>
  </si>
  <si>
    <t>9M2025</t>
  </si>
  <si>
    <t>Other receipts/(payments), net, including cash transactions with the second participant of joint operations</t>
  </si>
  <si>
    <t>Redemption of term deposits and restricted cash</t>
  </si>
  <si>
    <t>Investments in associated and joint ventures</t>
  </si>
  <si>
    <t>Acquisition of debt securities</t>
  </si>
  <si>
    <t>Proceeds from redemption of debt securities</t>
  </si>
  <si>
    <t>* Uranium production forecast for 2026-2057 as per 2025 CPR Report shown at 100% level based on Subsoil Use Agreements (tables 11-5 - 11-9)</t>
  </si>
  <si>
    <t>3M2026</t>
  </si>
  <si>
    <t xml:space="preserve">Equity attributable to shareholders of the Company </t>
  </si>
  <si>
    <t>Repayment of financing arrangements</t>
  </si>
  <si>
    <t xml:space="preserve">Proceeds from financing arrangements </t>
  </si>
  <si>
    <t>May 2026</t>
  </si>
  <si>
    <t>Lease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</si>
</sst>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 _₽_-;\-* #,##0.00\ _₽_-;_-* &quot;-&quot;??\ _₽_-;_-@_-"/>
    <numFmt numFmtId="166" formatCode="#,##0_);\(#,##0\);0_);@_)"/>
    <numFmt numFmtId="167" formatCode="#,##0.0_);\(#,##0.0\);0.0_);@_)"/>
    <numFmt numFmtId="168" formatCode="0.000"/>
    <numFmt numFmtId="169" formatCode="_-* #,##0\ _₽_-;\-* #,##0\ _₽_-;_-* &quot;-&quot;??\ _₽_-;_-@_-"/>
    <numFmt numFmtId="170" formatCode="0.0%"/>
    <numFmt numFmtId="171" formatCode="_(* #,##0_);_(* \(#,##0\);_(* &quot;-&quot;??_);_(@_)"/>
    <numFmt numFmtId="172" formatCode="#,##0\ _₽"/>
  </numFmts>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font>
    <font>
      <sz val="10"/>
      <color rgb="FF002060"/>
      <name val="Arial"/>
      <family val="2"/>
      <charset val="204"/>
    </font>
    <font>
      <b/>
      <sz val="10"/>
      <color rgb="FF002060"/>
      <name val="Arial"/>
      <family val="2"/>
      <charset val="204"/>
    </font>
    <font>
      <i/>
      <sz val="10"/>
      <color theme="1"/>
      <name val="Arial"/>
      <family val="2"/>
      <charset val="204"/>
    </font>
    <font>
      <sz val="10"/>
      <color theme="1"/>
      <name val="Arial"/>
      <family val="2"/>
      <charset val="204"/>
    </font>
    <font>
      <b/>
      <sz val="10"/>
      <name val="Arial"/>
      <family val="2"/>
      <charset val="204"/>
    </font>
    <font>
      <sz val="12"/>
      <color rgb="FF002060"/>
      <name val="Arial"/>
      <family val="2"/>
      <charset val="204"/>
    </font>
    <font>
      <b/>
      <sz val="10"/>
      <color theme="0"/>
      <name val="Arial"/>
      <family val="2"/>
      <charset val="204"/>
    </font>
    <font>
      <b/>
      <sz val="10"/>
      <color theme="1"/>
      <name val="Arial"/>
      <family val="2"/>
      <charset val="204"/>
    </font>
    <font>
      <sz val="10"/>
      <color theme="0"/>
      <name val="Arial"/>
      <family val="2"/>
      <charset val="204"/>
    </font>
    <font>
      <sz val="10"/>
      <name val="Arial"/>
      <family val="2"/>
      <charset val="204"/>
    </font>
    <font>
      <i/>
      <sz val="9"/>
      <color theme="1"/>
      <name val="Arial"/>
      <family val="2"/>
      <charset val="204"/>
    </font>
    <font>
      <i/>
      <sz val="8"/>
      <color theme="1"/>
      <name val="Arial"/>
      <family val="2"/>
      <charset val="204"/>
    </font>
    <font>
      <i/>
      <sz val="8"/>
      <name val="Arial"/>
      <family val="2"/>
      <charset val="204"/>
    </font>
    <font>
      <b/>
      <sz val="10"/>
      <color rgb="FF0070C0"/>
      <name val="Arial"/>
      <family val="2"/>
      <charset val="204"/>
    </font>
    <font>
      <sz val="10"/>
      <color rgb="FF0070C0"/>
      <name val="Arial"/>
      <family val="2"/>
      <charset val="204"/>
    </font>
    <font>
      <b/>
      <sz val="20"/>
      <color rgb="FF002060"/>
      <name val="Arial"/>
      <family val="2"/>
      <charset val="204"/>
    </font>
    <font>
      <b/>
      <sz val="14"/>
      <color rgb="FF002060"/>
      <name val="Arial"/>
      <family val="2"/>
      <charset val="204"/>
    </font>
    <font>
      <sz val="15"/>
      <color rgb="FF002060"/>
      <name val="Arial"/>
      <family val="2"/>
      <charset val="204"/>
    </font>
    <font>
      <sz val="10"/>
      <color rgb="FFFF0000"/>
      <name val="Arial"/>
      <family val="2"/>
      <charset val="204"/>
    </font>
    <font>
      <i/>
      <sz val="10"/>
      <color theme="0"/>
      <name val="Arial"/>
      <family val="2"/>
      <charset val="204"/>
    </font>
    <font>
      <i/>
      <sz val="10"/>
      <color rgb="FF002060"/>
      <name val="Arial"/>
      <family val="2"/>
      <charset val="204"/>
    </font>
    <font>
      <i/>
      <sz val="12"/>
      <color rgb="FF002060"/>
      <name val="Arial"/>
      <family val="2"/>
      <charset val="204"/>
    </font>
    <font>
      <b/>
      <sz val="12"/>
      <color rgb="FF002060"/>
      <name val="Arial"/>
      <family val="2"/>
      <charset val="204"/>
    </font>
    <font>
      <sz val="12"/>
      <color theme="1"/>
      <name val="Times New Roman"/>
      <family val="1"/>
      <charset val="204"/>
    </font>
    <font>
      <b/>
      <sz val="10"/>
      <color rgb="FFFF0000"/>
      <name val="Arial"/>
      <family val="2"/>
      <charset val="204"/>
    </font>
    <font>
      <sz val="10"/>
      <color theme="8" tint="-0.499984740745262"/>
      <name val="Arial"/>
      <family val="2"/>
      <charset val="204"/>
    </font>
    <font>
      <i/>
      <sz val="6"/>
      <name val="Arial"/>
      <family val="2"/>
      <charset val="204"/>
    </font>
    <font>
      <sz val="7"/>
      <color theme="1"/>
      <name val="Arial"/>
      <family val="2"/>
      <charset val="204"/>
    </font>
    <font>
      <sz val="9"/>
      <color indexed="81"/>
      <name val="Tahoma"/>
      <family val="2"/>
      <charset val="204"/>
    </font>
    <font>
      <b/>
      <sz val="9"/>
      <color indexed="81"/>
      <name val="Tahoma"/>
      <family val="2"/>
      <charset val="204"/>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s>
  <borders count="7">
    <border>
      <left/>
      <right/>
      <top/>
      <bottom/>
      <diagonal/>
    </border>
    <border>
      <left/>
      <right/>
      <top/>
      <bottom style="thin">
        <color indexed="64"/>
      </bottom>
      <diagonal/>
    </border>
    <border>
      <left/>
      <right/>
      <top style="thin">
        <color rgb="FF002060"/>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auto="1"/>
      </bottom>
      <diagonal/>
    </border>
    <border>
      <left/>
      <right/>
      <top style="thin">
        <color indexed="64"/>
      </top>
      <bottom style="thin">
        <color rgb="FF002060"/>
      </bottom>
      <diagonal/>
    </border>
  </borders>
  <cellStyleXfs count="8">
    <xf numFmtId="0" fontId="0" fillId="0" borderId="0"/>
    <xf numFmtId="164" fontId="3" fillId="0" borderId="0" applyFont="0" applyFill="0" applyBorder="0" applyAlignment="0" applyProtection="0"/>
    <xf numFmtId="0" fontId="3" fillId="0" borderId="0"/>
    <xf numFmtId="9" fontId="4"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cellStyleXfs>
  <cellXfs count="233">
    <xf numFmtId="0" fontId="0" fillId="0" borderId="0" xfId="0"/>
    <xf numFmtId="0" fontId="7" fillId="0" borderId="0" xfId="0" applyFont="1"/>
    <xf numFmtId="0" fontId="8" fillId="0" borderId="0" xfId="0" applyFont="1"/>
    <xf numFmtId="0" fontId="8" fillId="2" borderId="1" xfId="0" applyFont="1" applyFill="1" applyBorder="1"/>
    <xf numFmtId="2" fontId="11" fillId="2" borderId="2" xfId="0" applyNumberFormat="1" applyFont="1" applyFill="1" applyBorder="1" applyAlignment="1">
      <alignment horizontal="right"/>
    </xf>
    <xf numFmtId="1" fontId="11" fillId="2" borderId="2" xfId="0" applyNumberFormat="1" applyFont="1" applyFill="1" applyBorder="1" applyAlignment="1">
      <alignment horizontal="right"/>
    </xf>
    <xf numFmtId="0" fontId="8" fillId="0" borderId="1" xfId="0" applyFont="1" applyBorder="1"/>
    <xf numFmtId="49" fontId="11" fillId="2" borderId="0" xfId="0" applyNumberFormat="1" applyFont="1" applyFill="1"/>
    <xf numFmtId="0" fontId="8" fillId="2" borderId="0" xfId="0" applyFont="1" applyFill="1"/>
    <xf numFmtId="0" fontId="12" fillId="0" borderId="0" xfId="0" applyFont="1"/>
    <xf numFmtId="0" fontId="12" fillId="0" borderId="3" xfId="0" applyFont="1" applyBorder="1"/>
    <xf numFmtId="0" fontId="11" fillId="2" borderId="0" xfId="0" applyFont="1" applyFill="1"/>
    <xf numFmtId="164" fontId="11" fillId="2" borderId="0" xfId="1" applyFont="1" applyFill="1" applyBorder="1" applyAlignment="1">
      <alignment horizontal="right"/>
    </xf>
    <xf numFmtId="0" fontId="13" fillId="2" borderId="0" xfId="0" applyFont="1" applyFill="1"/>
    <xf numFmtId="2" fontId="11" fillId="0" borderId="0" xfId="0" applyNumberFormat="1" applyFont="1" applyAlignment="1">
      <alignment horizontal="right"/>
    </xf>
    <xf numFmtId="1" fontId="11" fillId="0" borderId="0" xfId="0" applyNumberFormat="1" applyFont="1" applyAlignment="1">
      <alignment horizontal="right"/>
    </xf>
    <xf numFmtId="166" fontId="14" fillId="0" borderId="0" xfId="4" applyNumberFormat="1" applyFont="1"/>
    <xf numFmtId="0" fontId="12" fillId="0" borderId="5" xfId="0" applyFont="1" applyBorder="1"/>
    <xf numFmtId="0" fontId="12" fillId="0" borderId="4" xfId="0" applyFont="1" applyBorder="1"/>
    <xf numFmtId="0" fontId="8" fillId="0" borderId="5" xfId="0" applyFont="1" applyBorder="1"/>
    <xf numFmtId="0" fontId="12" fillId="0" borderId="1" xfId="0" applyFont="1" applyBorder="1"/>
    <xf numFmtId="0" fontId="15" fillId="0" borderId="0" xfId="0" applyFont="1"/>
    <xf numFmtId="0" fontId="16" fillId="0" borderId="0" xfId="0" applyFont="1"/>
    <xf numFmtId="0" fontId="9" fillId="0" borderId="4" xfId="0" applyFont="1" applyBorder="1"/>
    <xf numFmtId="0" fontId="14" fillId="0" borderId="0" xfId="0" applyFont="1"/>
    <xf numFmtId="0" fontId="9" fillId="0" borderId="5" xfId="0" applyFont="1" applyBorder="1"/>
    <xf numFmtId="0" fontId="9" fillId="0" borderId="0" xfId="0" applyFont="1"/>
    <xf numFmtId="166" fontId="14" fillId="0" borderId="0" xfId="4" applyNumberFormat="1" applyFont="1" applyBorder="1"/>
    <xf numFmtId="0" fontId="17" fillId="0" borderId="0" xfId="0" applyFont="1"/>
    <xf numFmtId="166" fontId="14" fillId="0" borderId="0" xfId="4" applyNumberFormat="1" applyFont="1" applyFill="1" applyBorder="1"/>
    <xf numFmtId="0" fontId="6" fillId="0" borderId="0" xfId="0" applyFont="1"/>
    <xf numFmtId="0" fontId="14" fillId="0" borderId="4" xfId="0" applyFont="1" applyBorder="1"/>
    <xf numFmtId="0" fontId="14" fillId="0" borderId="1" xfId="0" applyFont="1" applyBorder="1"/>
    <xf numFmtId="166" fontId="9" fillId="0" borderId="0" xfId="4" applyNumberFormat="1" applyFont="1" applyFill="1" applyBorder="1"/>
    <xf numFmtId="0" fontId="6" fillId="0" borderId="0" xfId="6" applyFont="1"/>
    <xf numFmtId="0" fontId="5" fillId="0" borderId="0" xfId="6" applyFont="1"/>
    <xf numFmtId="0" fontId="18" fillId="0" borderId="0" xfId="6" applyFont="1"/>
    <xf numFmtId="0" fontId="19" fillId="0" borderId="0" xfId="6" applyFont="1"/>
    <xf numFmtId="0" fontId="20" fillId="0" borderId="0" xfId="6" applyFont="1"/>
    <xf numFmtId="0" fontId="21" fillId="0" borderId="0" xfId="6" applyFont="1"/>
    <xf numFmtId="0" fontId="10" fillId="0" borderId="0" xfId="6" applyFont="1" applyAlignment="1">
      <alignment horizontal="center"/>
    </xf>
    <xf numFmtId="0" fontId="5" fillId="0" borderId="0" xfId="6" applyFont="1" applyAlignment="1">
      <alignment horizontal="center"/>
    </xf>
    <xf numFmtId="0" fontId="22" fillId="0" borderId="0" xfId="6" applyFont="1"/>
    <xf numFmtId="0" fontId="5" fillId="0" borderId="0" xfId="6" quotePrefix="1" applyFont="1"/>
    <xf numFmtId="49" fontId="11" fillId="0" borderId="0" xfId="0" applyNumberFormat="1" applyFont="1"/>
    <xf numFmtId="49" fontId="14" fillId="0" borderId="0" xfId="0" applyNumberFormat="1" applyFont="1"/>
    <xf numFmtId="0" fontId="19" fillId="0" borderId="0" xfId="7" applyFont="1"/>
    <xf numFmtId="0" fontId="20" fillId="0" borderId="0" xfId="7" applyFont="1"/>
    <xf numFmtId="0" fontId="6" fillId="0" borderId="0" xfId="7" applyFont="1"/>
    <xf numFmtId="0" fontId="5" fillId="0" borderId="0" xfId="7" applyFont="1"/>
    <xf numFmtId="0" fontId="5" fillId="0" borderId="0" xfId="7" applyFont="1" applyAlignment="1">
      <alignment horizontal="center"/>
    </xf>
    <xf numFmtId="16" fontId="5" fillId="0" borderId="0" xfId="7" quotePrefix="1" applyNumberFormat="1" applyFont="1" applyAlignment="1">
      <alignment horizontal="center"/>
    </xf>
    <xf numFmtId="0" fontId="5" fillId="0" borderId="0" xfId="7" quotePrefix="1" applyFont="1" applyAlignment="1">
      <alignment horizontal="center"/>
    </xf>
    <xf numFmtId="0" fontId="5" fillId="0" borderId="0" xfId="7" applyFont="1" applyAlignment="1">
      <alignment horizontal="left"/>
    </xf>
    <xf numFmtId="3" fontId="8" fillId="0" borderId="0" xfId="0" applyNumberFormat="1" applyFont="1"/>
    <xf numFmtId="0" fontId="8" fillId="0" borderId="4" xfId="0" applyFont="1" applyBorder="1"/>
    <xf numFmtId="0" fontId="23" fillId="0" borderId="0" xfId="0" applyFont="1"/>
    <xf numFmtId="0" fontId="14" fillId="3" borderId="0" xfId="0" applyFont="1" applyFill="1"/>
    <xf numFmtId="166" fontId="14" fillId="3" borderId="0" xfId="0" applyNumberFormat="1" applyFont="1" applyFill="1"/>
    <xf numFmtId="166" fontId="14" fillId="0" borderId="0" xfId="0" applyNumberFormat="1" applyFont="1"/>
    <xf numFmtId="166" fontId="9" fillId="0" borderId="0" xfId="0" applyNumberFormat="1" applyFont="1"/>
    <xf numFmtId="166" fontId="14" fillId="0" borderId="1" xfId="0" applyNumberFormat="1" applyFont="1" applyBorder="1"/>
    <xf numFmtId="166" fontId="9" fillId="0" borderId="5" xfId="0" applyNumberFormat="1" applyFont="1" applyBorder="1"/>
    <xf numFmtId="166" fontId="9" fillId="0" borderId="4" xfId="0" applyNumberFormat="1" applyFont="1" applyBorder="1"/>
    <xf numFmtId="166" fontId="14" fillId="0" borderId="4" xfId="0" applyNumberFormat="1" applyFont="1" applyBorder="1"/>
    <xf numFmtId="166" fontId="17" fillId="0" borderId="0" xfId="0" applyNumberFormat="1" applyFont="1"/>
    <xf numFmtId="166" fontId="14" fillId="0" borderId="0" xfId="1" applyNumberFormat="1" applyFont="1" applyFill="1" applyBorder="1" applyAlignment="1">
      <alignment horizontal="right"/>
    </xf>
    <xf numFmtId="166" fontId="14" fillId="0" borderId="0" xfId="1" applyNumberFormat="1" applyFont="1" applyFill="1" applyBorder="1" applyAlignment="1"/>
    <xf numFmtId="0" fontId="8" fillId="3" borderId="0" xfId="0" applyFont="1" applyFill="1"/>
    <xf numFmtId="0" fontId="12" fillId="3" borderId="4" xfId="0" applyFont="1" applyFill="1" applyBorder="1"/>
    <xf numFmtId="0" fontId="8" fillId="3" borderId="5" xfId="0" applyFont="1" applyFill="1" applyBorder="1"/>
    <xf numFmtId="0" fontId="12" fillId="3" borderId="3" xfId="0" applyFont="1" applyFill="1" applyBorder="1"/>
    <xf numFmtId="0" fontId="12" fillId="3" borderId="5" xfId="0" applyFont="1" applyFill="1" applyBorder="1"/>
    <xf numFmtId="0" fontId="12" fillId="3" borderId="0" xfId="0" applyFont="1" applyFill="1"/>
    <xf numFmtId="166" fontId="9" fillId="0" borderId="0" xfId="4" applyNumberFormat="1" applyFont="1" applyBorder="1"/>
    <xf numFmtId="0" fontId="8" fillId="0" borderId="0" xfId="0" applyFont="1" applyAlignment="1">
      <alignment horizontal="right"/>
    </xf>
    <xf numFmtId="2" fontId="8" fillId="0" borderId="0" xfId="0" applyNumberFormat="1" applyFont="1"/>
    <xf numFmtId="166" fontId="9" fillId="0" borderId="0" xfId="4" applyNumberFormat="1" applyFont="1" applyFill="1"/>
    <xf numFmtId="168" fontId="8" fillId="0" borderId="0" xfId="0" applyNumberFormat="1" applyFont="1"/>
    <xf numFmtId="0" fontId="8" fillId="3" borderId="0" xfId="0" applyFont="1" applyFill="1" applyAlignment="1">
      <alignment horizontal="right"/>
    </xf>
    <xf numFmtId="166" fontId="14" fillId="3" borderId="0" xfId="4" applyNumberFormat="1" applyFont="1" applyFill="1"/>
    <xf numFmtId="166" fontId="14" fillId="3" borderId="0" xfId="4" applyNumberFormat="1" applyFont="1" applyFill="1" applyBorder="1"/>
    <xf numFmtId="0" fontId="9" fillId="3" borderId="4" xfId="0" applyFont="1" applyFill="1" applyBorder="1"/>
    <xf numFmtId="166" fontId="9" fillId="3" borderId="4" xfId="4" applyNumberFormat="1" applyFont="1" applyFill="1" applyBorder="1"/>
    <xf numFmtId="2" fontId="14" fillId="0" borderId="0" xfId="0" applyNumberFormat="1" applyFont="1"/>
    <xf numFmtId="2" fontId="14" fillId="0" borderId="4" xfId="0" applyNumberFormat="1" applyFont="1" applyBorder="1"/>
    <xf numFmtId="0" fontId="16" fillId="0" borderId="0" xfId="0" applyFont="1" applyAlignment="1">
      <alignment horizontal="right"/>
    </xf>
    <xf numFmtId="0" fontId="14" fillId="3" borderId="1" xfId="0" applyFont="1" applyFill="1" applyBorder="1"/>
    <xf numFmtId="0" fontId="9" fillId="3" borderId="0" xfId="0" applyFont="1" applyFill="1"/>
    <xf numFmtId="0" fontId="14" fillId="3" borderId="4" xfId="0" applyFont="1" applyFill="1" applyBorder="1"/>
    <xf numFmtId="166" fontId="9" fillId="3" borderId="4" xfId="0" applyNumberFormat="1" applyFont="1" applyFill="1" applyBorder="1"/>
    <xf numFmtId="166" fontId="14" fillId="3" borderId="4" xfId="0" applyNumberFormat="1" applyFont="1" applyFill="1" applyBorder="1"/>
    <xf numFmtId="3" fontId="8" fillId="0" borderId="0" xfId="0" applyNumberFormat="1" applyFont="1" applyAlignment="1">
      <alignment horizontal="right"/>
    </xf>
    <xf numFmtId="3" fontId="12" fillId="0" borderId="4" xfId="0" applyNumberFormat="1" applyFont="1" applyBorder="1" applyAlignment="1">
      <alignment horizontal="right"/>
    </xf>
    <xf numFmtId="3" fontId="8" fillId="3" borderId="0" xfId="0" applyNumberFormat="1" applyFont="1" applyFill="1"/>
    <xf numFmtId="0" fontId="5" fillId="0" borderId="0" xfId="0" applyFont="1"/>
    <xf numFmtId="49" fontId="11" fillId="3" borderId="0" xfId="0" applyNumberFormat="1" applyFont="1" applyFill="1"/>
    <xf numFmtId="2" fontId="11" fillId="3" borderId="0" xfId="0" applyNumberFormat="1" applyFont="1" applyFill="1" applyAlignment="1">
      <alignment horizontal="right"/>
    </xf>
    <xf numFmtId="1" fontId="11" fillId="3" borderId="0" xfId="0" applyNumberFormat="1" applyFont="1" applyFill="1" applyAlignment="1">
      <alignment horizontal="right"/>
    </xf>
    <xf numFmtId="0" fontId="24" fillId="2" borderId="0" xfId="0" applyFont="1" applyFill="1"/>
    <xf numFmtId="0" fontId="25" fillId="3" borderId="0" xfId="0" applyFont="1" applyFill="1"/>
    <xf numFmtId="0" fontId="12" fillId="3" borderId="0" xfId="0" applyFont="1" applyFill="1" applyAlignment="1">
      <alignment horizontal="right"/>
    </xf>
    <xf numFmtId="165" fontId="14" fillId="3" borderId="0" xfId="4" applyFont="1" applyFill="1" applyBorder="1"/>
    <xf numFmtId="166" fontId="8" fillId="3" borderId="1" xfId="0" applyNumberFormat="1" applyFont="1" applyFill="1" applyBorder="1"/>
    <xf numFmtId="166" fontId="8" fillId="3" borderId="0" xfId="0" applyNumberFormat="1" applyFont="1" applyFill="1"/>
    <xf numFmtId="166" fontId="12" fillId="3" borderId="1" xfId="0" applyNumberFormat="1" applyFont="1" applyFill="1" applyBorder="1"/>
    <xf numFmtId="166" fontId="12" fillId="3" borderId="5" xfId="0" applyNumberFormat="1" applyFont="1" applyFill="1" applyBorder="1"/>
    <xf numFmtId="3" fontId="8" fillId="3" borderId="0" xfId="0" applyNumberFormat="1" applyFont="1" applyFill="1" applyAlignment="1">
      <alignment horizontal="right"/>
    </xf>
    <xf numFmtId="0" fontId="5" fillId="3" borderId="0" xfId="7" applyFont="1" applyFill="1"/>
    <xf numFmtId="0" fontId="19" fillId="3" borderId="0" xfId="7" applyFont="1" applyFill="1"/>
    <xf numFmtId="0" fontId="5" fillId="3" borderId="0" xfId="7" applyFont="1" applyFill="1" applyAlignment="1">
      <alignment horizontal="left" indent="1"/>
    </xf>
    <xf numFmtId="0" fontId="5" fillId="3" borderId="0" xfId="7" applyFont="1" applyFill="1" applyAlignment="1">
      <alignment horizontal="left"/>
    </xf>
    <xf numFmtId="165" fontId="14" fillId="3" borderId="0" xfId="4" applyFont="1" applyFill="1" applyBorder="1" applyAlignment="1"/>
    <xf numFmtId="169" fontId="14" fillId="3" borderId="0" xfId="4" applyNumberFormat="1" applyFont="1" applyFill="1" applyBorder="1"/>
    <xf numFmtId="49" fontId="14" fillId="4" borderId="0" xfId="0" applyNumberFormat="1" applyFont="1" applyFill="1"/>
    <xf numFmtId="170" fontId="8" fillId="0" borderId="0" xfId="5" applyNumberFormat="1" applyFont="1" applyBorder="1" applyAlignment="1">
      <alignment horizontal="center"/>
    </xf>
    <xf numFmtId="17" fontId="26" fillId="0" borderId="0" xfId="6" quotePrefix="1" applyNumberFormat="1" applyFont="1"/>
    <xf numFmtId="0" fontId="27" fillId="0" borderId="0" xfId="6" quotePrefix="1" applyFont="1"/>
    <xf numFmtId="0" fontId="28" fillId="0" borderId="0" xfId="0" applyFont="1" applyAlignment="1">
      <alignment vertical="center" wrapText="1"/>
    </xf>
    <xf numFmtId="0" fontId="5" fillId="0" borderId="0" xfId="6" applyFont="1" applyAlignment="1">
      <alignment horizontal="left" wrapText="1"/>
    </xf>
    <xf numFmtId="0" fontId="25" fillId="3" borderId="0" xfId="0" applyFont="1" applyFill="1" applyAlignment="1">
      <alignment horizontal="center" vertical="center"/>
    </xf>
    <xf numFmtId="166" fontId="9" fillId="0" borderId="0" xfId="4" applyNumberFormat="1" applyFont="1"/>
    <xf numFmtId="2" fontId="29" fillId="0" borderId="0" xfId="0" applyNumberFormat="1" applyFont="1"/>
    <xf numFmtId="0" fontId="14" fillId="0" borderId="0" xfId="0" applyFont="1" applyAlignment="1">
      <alignment wrapText="1"/>
    </xf>
    <xf numFmtId="0" fontId="30" fillId="3" borderId="0" xfId="0" applyFont="1" applyFill="1"/>
    <xf numFmtId="2" fontId="8" fillId="0" borderId="0" xfId="0" applyNumberFormat="1" applyFont="1" applyAlignment="1">
      <alignment horizontal="right"/>
    </xf>
    <xf numFmtId="166" fontId="14" fillId="0" borderId="0" xfId="4" applyNumberFormat="1" applyFont="1" applyFill="1"/>
    <xf numFmtId="0" fontId="8" fillId="0" borderId="0" xfId="0" quotePrefix="1" applyFont="1"/>
    <xf numFmtId="1" fontId="11" fillId="2" borderId="0" xfId="0" applyNumberFormat="1" applyFont="1" applyFill="1" applyAlignment="1">
      <alignment horizontal="right"/>
    </xf>
    <xf numFmtId="3" fontId="14" fillId="0" borderId="0" xfId="0" applyNumberFormat="1" applyFont="1"/>
    <xf numFmtId="0" fontId="14" fillId="2" borderId="0" xfId="0" applyFont="1" applyFill="1"/>
    <xf numFmtId="3" fontId="9" fillId="0" borderId="5" xfId="0" applyNumberFormat="1" applyFont="1" applyBorder="1"/>
    <xf numFmtId="166" fontId="8" fillId="0" borderId="0" xfId="0" applyNumberFormat="1" applyFont="1"/>
    <xf numFmtId="3" fontId="9" fillId="0" borderId="0" xfId="0" applyNumberFormat="1" applyFont="1"/>
    <xf numFmtId="2" fontId="12" fillId="0" borderId="0" xfId="0" applyNumberFormat="1" applyFont="1" applyAlignment="1">
      <alignment horizontal="right"/>
    </xf>
    <xf numFmtId="166" fontId="8" fillId="3" borderId="1" xfId="4" applyNumberFormat="1" applyFont="1" applyFill="1" applyBorder="1"/>
    <xf numFmtId="166" fontId="8" fillId="3" borderId="0" xfId="4" applyNumberFormat="1" applyFont="1" applyFill="1"/>
    <xf numFmtId="166" fontId="8" fillId="3" borderId="0" xfId="4" applyNumberFormat="1" applyFont="1" applyFill="1" applyAlignment="1">
      <alignment horizontal="right"/>
    </xf>
    <xf numFmtId="166" fontId="12" fillId="3" borderId="4" xfId="4" applyNumberFormat="1" applyFont="1" applyFill="1" applyBorder="1"/>
    <xf numFmtId="166" fontId="8" fillId="3" borderId="5" xfId="4" applyNumberFormat="1" applyFont="1" applyFill="1" applyBorder="1"/>
    <xf numFmtId="166" fontId="8" fillId="3" borderId="4" xfId="4" applyNumberFormat="1" applyFont="1" applyFill="1" applyBorder="1"/>
    <xf numFmtId="166" fontId="12" fillId="3" borderId="3" xfId="4" applyNumberFormat="1" applyFont="1" applyFill="1" applyBorder="1"/>
    <xf numFmtId="166" fontId="12" fillId="3" borderId="5" xfId="4" applyNumberFormat="1" applyFont="1" applyFill="1" applyBorder="1"/>
    <xf numFmtId="166" fontId="8" fillId="0" borderId="0" xfId="4" applyNumberFormat="1" applyFont="1"/>
    <xf numFmtId="167" fontId="12" fillId="0" borderId="0" xfId="4" applyNumberFormat="1" applyFont="1" applyFill="1"/>
    <xf numFmtId="166" fontId="12" fillId="0" borderId="0" xfId="4" applyNumberFormat="1" applyFont="1" applyFill="1"/>
    <xf numFmtId="166" fontId="7" fillId="0" borderId="5" xfId="4" applyNumberFormat="1" applyFont="1" applyBorder="1"/>
    <xf numFmtId="0" fontId="8" fillId="3" borderId="1" xfId="0" applyFont="1" applyFill="1" applyBorder="1"/>
    <xf numFmtId="2" fontId="8" fillId="0" borderId="1" xfId="0" applyNumberFormat="1" applyFont="1" applyBorder="1" applyAlignment="1">
      <alignment horizontal="right"/>
    </xf>
    <xf numFmtId="0" fontId="12" fillId="0" borderId="0" xfId="0" applyFont="1" applyAlignment="1">
      <alignment horizontal="right"/>
    </xf>
    <xf numFmtId="0" fontId="8" fillId="0" borderId="1" xfId="0" applyFont="1" applyBorder="1" applyAlignment="1">
      <alignment horizontal="right"/>
    </xf>
    <xf numFmtId="0" fontId="12" fillId="0" borderId="1" xfId="0" applyFont="1" applyBorder="1" applyAlignment="1">
      <alignment horizontal="right"/>
    </xf>
    <xf numFmtId="2" fontId="12" fillId="0" borderId="1" xfId="0" applyNumberFormat="1" applyFont="1" applyBorder="1" applyAlignment="1">
      <alignment horizontal="right"/>
    </xf>
    <xf numFmtId="2" fontId="8" fillId="0" borderId="1" xfId="0" applyNumberFormat="1" applyFont="1" applyBorder="1"/>
    <xf numFmtId="0" fontId="16" fillId="0" borderId="0" xfId="0" applyFont="1" applyAlignment="1">
      <alignment wrapText="1"/>
    </xf>
    <xf numFmtId="14" fontId="6" fillId="0" borderId="0" xfId="0" applyNumberFormat="1" applyFont="1" applyAlignment="1">
      <alignment vertical="top" wrapText="1"/>
    </xf>
    <xf numFmtId="14" fontId="6" fillId="0" borderId="0" xfId="0" applyNumberFormat="1" applyFont="1"/>
    <xf numFmtId="172" fontId="8" fillId="0" borderId="0" xfId="0" applyNumberFormat="1" applyFont="1"/>
    <xf numFmtId="0" fontId="11" fillId="2" borderId="0" xfId="0" applyFont="1" applyFill="1" applyAlignment="1">
      <alignment horizontal="right"/>
    </xf>
    <xf numFmtId="0" fontId="8" fillId="0" borderId="0" xfId="0" applyFont="1" applyAlignment="1">
      <alignment horizontal="left"/>
    </xf>
    <xf numFmtId="171" fontId="8" fillId="5" borderId="0" xfId="4" applyNumberFormat="1" applyFont="1" applyFill="1" applyAlignment="1">
      <alignment horizontal="right"/>
    </xf>
    <xf numFmtId="171" fontId="8" fillId="0" borderId="0" xfId="4" applyNumberFormat="1" applyFont="1" applyAlignment="1">
      <alignment horizontal="right"/>
    </xf>
    <xf numFmtId="171" fontId="11" fillId="2" borderId="0" xfId="4" applyNumberFormat="1" applyFont="1" applyFill="1" applyAlignment="1">
      <alignment horizontal="right"/>
    </xf>
    <xf numFmtId="0" fontId="8" fillId="0" borderId="0" xfId="0" applyFont="1" applyAlignment="1">
      <alignment wrapText="1"/>
    </xf>
    <xf numFmtId="2" fontId="7" fillId="0" borderId="0" xfId="0" applyNumberFormat="1" applyFont="1"/>
    <xf numFmtId="2" fontId="7" fillId="0" borderId="0" xfId="0" applyNumberFormat="1" applyFont="1" applyAlignment="1">
      <alignment horizontal="right"/>
    </xf>
    <xf numFmtId="0" fontId="31" fillId="0" borderId="0" xfId="0" applyFont="1"/>
    <xf numFmtId="166" fontId="9" fillId="3" borderId="5" xfId="4" applyNumberFormat="1" applyFont="1" applyFill="1" applyBorder="1"/>
    <xf numFmtId="166" fontId="12" fillId="3" borderId="0" xfId="4" applyNumberFormat="1" applyFont="1" applyFill="1" applyBorder="1"/>
    <xf numFmtId="166" fontId="14" fillId="0" borderId="5" xfId="4" applyNumberFormat="1" applyFont="1" applyFill="1" applyBorder="1"/>
    <xf numFmtId="2" fontId="8" fillId="3" borderId="0" xfId="0" applyNumberFormat="1" applyFont="1" applyFill="1" applyAlignment="1">
      <alignment horizontal="right"/>
    </xf>
    <xf numFmtId="0" fontId="11" fillId="2" borderId="1" xfId="0" applyFont="1" applyFill="1" applyBorder="1"/>
    <xf numFmtId="0" fontId="13" fillId="2" borderId="1" xfId="0" applyFont="1" applyFill="1" applyBorder="1"/>
    <xf numFmtId="0" fontId="11" fillId="2" borderId="1" xfId="0" applyFont="1" applyFill="1" applyBorder="1" applyAlignment="1">
      <alignment horizontal="right"/>
    </xf>
    <xf numFmtId="166" fontId="12" fillId="3" borderId="0" xfId="4" applyNumberFormat="1" applyFont="1" applyFill="1"/>
    <xf numFmtId="3" fontId="12" fillId="3" borderId="0" xfId="0" applyNumberFormat="1" applyFont="1" applyFill="1" applyAlignment="1">
      <alignment vertical="center"/>
    </xf>
    <xf numFmtId="166" fontId="14" fillId="0" borderId="0" xfId="4" applyNumberFormat="1" applyFont="1" applyFill="1" applyAlignment="1">
      <alignment horizontal="right"/>
    </xf>
    <xf numFmtId="2" fontId="12" fillId="3" borderId="0" xfId="0" applyNumberFormat="1" applyFont="1" applyFill="1"/>
    <xf numFmtId="0" fontId="8" fillId="0" borderId="6" xfId="0" applyFont="1" applyBorder="1"/>
    <xf numFmtId="169" fontId="8" fillId="3" borderId="0" xfId="4" applyNumberFormat="1" applyFont="1" applyFill="1"/>
    <xf numFmtId="165" fontId="14" fillId="0" borderId="0" xfId="4" applyFont="1"/>
    <xf numFmtId="166" fontId="8" fillId="0" borderId="0" xfId="4" applyNumberFormat="1" applyFont="1" applyFill="1"/>
    <xf numFmtId="0" fontId="14" fillId="0" borderId="0" xfId="0" applyFont="1" applyFill="1"/>
    <xf numFmtId="2" fontId="8" fillId="0" borderId="0" xfId="0" applyNumberFormat="1" applyFont="1" applyFill="1"/>
    <xf numFmtId="3" fontId="8" fillId="0" borderId="0" xfId="0" applyNumberFormat="1" applyFont="1" applyFill="1"/>
    <xf numFmtId="0" fontId="8" fillId="0" borderId="0" xfId="0" applyFont="1" applyFill="1"/>
    <xf numFmtId="166" fontId="12" fillId="0" borderId="5" xfId="4" applyNumberFormat="1" applyFont="1" applyFill="1" applyBorder="1"/>
    <xf numFmtId="0" fontId="32" fillId="0" borderId="0" xfId="0" applyFont="1" applyFill="1" applyAlignment="1">
      <alignment wrapText="1"/>
    </xf>
    <xf numFmtId="166" fontId="8" fillId="0" borderId="0" xfId="0" applyNumberFormat="1" applyFont="1" applyFill="1"/>
    <xf numFmtId="166" fontId="14" fillId="0" borderId="0" xfId="0" applyNumberFormat="1" applyFont="1" applyFill="1"/>
    <xf numFmtId="2" fontId="14" fillId="0" borderId="0" xfId="0" applyNumberFormat="1" applyFont="1" applyFill="1"/>
    <xf numFmtId="0" fontId="8" fillId="0" borderId="0" xfId="0" applyFont="1" applyFill="1" applyAlignment="1">
      <alignment horizontal="right"/>
    </xf>
    <xf numFmtId="166" fontId="8" fillId="0" borderId="0" xfId="4" applyNumberFormat="1" applyFont="1" applyFill="1" applyBorder="1"/>
    <xf numFmtId="166" fontId="8" fillId="0" borderId="1" xfId="4" applyNumberFormat="1" applyFont="1" applyFill="1" applyBorder="1"/>
    <xf numFmtId="166" fontId="12" fillId="0" borderId="1" xfId="0" applyNumberFormat="1" applyFont="1" applyFill="1" applyBorder="1"/>
    <xf numFmtId="0" fontId="8" fillId="0" borderId="5" xfId="0" applyFont="1" applyFill="1" applyBorder="1"/>
    <xf numFmtId="166" fontId="12" fillId="0" borderId="3" xfId="4" applyNumberFormat="1" applyFont="1" applyFill="1" applyBorder="1"/>
    <xf numFmtId="169" fontId="8" fillId="0" borderId="0" xfId="4" applyNumberFormat="1" applyFont="1" applyFill="1"/>
    <xf numFmtId="0" fontId="14" fillId="3" borderId="0" xfId="0" applyFont="1" applyFill="1" applyAlignment="1">
      <alignment wrapText="1"/>
    </xf>
    <xf numFmtId="3" fontId="14" fillId="3" borderId="0" xfId="0" applyNumberFormat="1" applyFont="1" applyFill="1"/>
    <xf numFmtId="3" fontId="14" fillId="0" borderId="0" xfId="0" applyNumberFormat="1" applyFont="1" applyFill="1"/>
    <xf numFmtId="166" fontId="14" fillId="3" borderId="1" xfId="4" applyNumberFormat="1" applyFont="1" applyFill="1" applyBorder="1"/>
    <xf numFmtId="166" fontId="9" fillId="0" borderId="4" xfId="4" applyNumberFormat="1" applyFont="1" applyFill="1" applyBorder="1" applyAlignment="1">
      <alignment horizontal="right"/>
    </xf>
    <xf numFmtId="3" fontId="8" fillId="0" borderId="0" xfId="0" applyNumberFormat="1" applyFont="1" applyFill="1" applyAlignment="1">
      <alignment horizontal="right"/>
    </xf>
    <xf numFmtId="166" fontId="9" fillId="0" borderId="0" xfId="4" applyNumberFormat="1" applyFont="1" applyFill="1" applyAlignment="1">
      <alignment horizontal="right"/>
    </xf>
    <xf numFmtId="166" fontId="9" fillId="3" borderId="1" xfId="4" applyNumberFormat="1" applyFont="1" applyFill="1" applyBorder="1"/>
    <xf numFmtId="0" fontId="15" fillId="0" borderId="0" xfId="0" applyFont="1" applyAlignment="1">
      <alignment wrapText="1"/>
    </xf>
    <xf numFmtId="169" fontId="17" fillId="0" borderId="0" xfId="0" applyNumberFormat="1" applyFont="1" applyAlignment="1">
      <alignment horizontal="right"/>
    </xf>
    <xf numFmtId="0" fontId="17" fillId="0" borderId="0" xfId="0" applyFont="1" applyAlignment="1">
      <alignment wrapText="1"/>
    </xf>
    <xf numFmtId="0" fontId="14" fillId="0" borderId="0" xfId="0" applyFont="1" applyAlignment="1">
      <alignment horizontal="right"/>
    </xf>
    <xf numFmtId="2" fontId="8" fillId="0" borderId="0" xfId="0" applyNumberFormat="1" applyFont="1" applyFill="1" applyAlignment="1">
      <alignment horizontal="right"/>
    </xf>
    <xf numFmtId="2" fontId="14" fillId="0" borderId="0" xfId="0" applyNumberFormat="1" applyFont="1" applyAlignment="1">
      <alignment horizontal="right"/>
    </xf>
    <xf numFmtId="0" fontId="14" fillId="0" borderId="0" xfId="0" applyFont="1" applyFill="1" applyAlignment="1">
      <alignment horizontal="right"/>
    </xf>
    <xf numFmtId="14" fontId="11" fillId="2" borderId="0" xfId="0" applyNumberFormat="1" applyFont="1" applyFill="1" applyAlignment="1">
      <alignment horizontal="center"/>
    </xf>
    <xf numFmtId="0" fontId="8" fillId="0" borderId="0" xfId="0" applyFont="1" applyAlignment="1">
      <alignment vertical="center"/>
    </xf>
    <xf numFmtId="170" fontId="8" fillId="0" borderId="0" xfId="0" applyNumberFormat="1" applyFont="1" applyFill="1"/>
    <xf numFmtId="14" fontId="11" fillId="2" borderId="0" xfId="0" applyNumberFormat="1" applyFont="1" applyFill="1" applyAlignment="1"/>
    <xf numFmtId="3" fontId="12" fillId="3" borderId="0" xfId="0" applyNumberFormat="1" applyFont="1" applyFill="1"/>
    <xf numFmtId="3" fontId="14" fillId="3" borderId="0" xfId="4" applyNumberFormat="1" applyFont="1" applyFill="1" applyBorder="1"/>
    <xf numFmtId="3" fontId="12" fillId="0" borderId="0" xfId="0" applyNumberFormat="1" applyFont="1" applyFill="1"/>
    <xf numFmtId="3" fontId="0" fillId="0" borderId="0" xfId="0" applyNumberFormat="1"/>
    <xf numFmtId="2" fontId="14" fillId="0" borderId="1" xfId="0" applyNumberFormat="1" applyFont="1" applyBorder="1"/>
    <xf numFmtId="166" fontId="12" fillId="0" borderId="0" xfId="4" applyNumberFormat="1" applyFont="1" applyFill="1" applyBorder="1"/>
    <xf numFmtId="164" fontId="0" fillId="0" borderId="0" xfId="0" applyNumberFormat="1"/>
    <xf numFmtId="166" fontId="14" fillId="0" borderId="0" xfId="0" applyNumberFormat="1" applyFont="1" applyFill="1" applyBorder="1"/>
    <xf numFmtId="166" fontId="12" fillId="0" borderId="1" xfId="0" applyNumberFormat="1" applyFont="1" applyBorder="1"/>
    <xf numFmtId="166" fontId="11" fillId="0" borderId="0" xfId="0" applyNumberFormat="1" applyFont="1"/>
    <xf numFmtId="0" fontId="11" fillId="0" borderId="0" xfId="0" applyFont="1"/>
    <xf numFmtId="0" fontId="8" fillId="0" borderId="0" xfId="0" applyFont="1" applyAlignment="1">
      <alignment horizontal="center" vertical="center"/>
    </xf>
    <xf numFmtId="14" fontId="11" fillId="2" borderId="0" xfId="0" applyNumberFormat="1" applyFont="1" applyFill="1" applyAlignment="1">
      <alignment horizontal="center" vertical="center"/>
    </xf>
    <xf numFmtId="0" fontId="11" fillId="2" borderId="0" xfId="0" applyFont="1" applyFill="1" applyAlignment="1">
      <alignment horizontal="center" vertical="center" wrapText="1"/>
    </xf>
    <xf numFmtId="14" fontId="11" fillId="2" borderId="0" xfId="0" applyNumberFormat="1" applyFont="1" applyFill="1" applyAlignment="1">
      <alignment horizontal="center"/>
    </xf>
    <xf numFmtId="0" fontId="10" fillId="0" borderId="0" xfId="6" quotePrefix="1" applyFont="1"/>
  </cellXfs>
  <cellStyles count="8">
    <cellStyle name="Normal 9" xfId="2" xr:uid="{00000000-0005-0000-0000-000003000000}"/>
    <cellStyle name="Percent 26" xfId="3" xr:uid="{00000000-0005-0000-0000-000005000000}"/>
    <cellStyle name="Обычный" xfId="0" builtinId="0"/>
    <cellStyle name="Обычный 2" xfId="6" xr:uid="{00000000-0005-0000-0000-000006000000}"/>
    <cellStyle name="Обычный 3" xfId="7" xr:uid="{00000000-0005-0000-0000-000007000000}"/>
    <cellStyle name="Процентный" xfId="5" builtinId="5"/>
    <cellStyle name="Финансовый" xfId="4" builtinId="3"/>
    <cellStyle name="Финансовый [0]" xfId="1" builtinId="6"/>
  </cellStyles>
  <dxfs count="0"/>
  <tableStyles count="0" defaultTableStyle="TableStyleMedium2" defaultPivotStyle="PivotStyleLight16"/>
  <colors>
    <mruColors>
      <color rgb="FF00CCFF"/>
      <color rgb="FF00206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USTAFA\IPR%20Calculations\IPR_V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IPR_VOG"/>
      <sheetName val="Диаграмма1"/>
      <sheetName val="VOG RUS"/>
      <sheetName val="F-1"/>
      <sheetName val="F-2"/>
      <sheetName val="F-3"/>
      <sheetName val="F-4"/>
      <sheetName val="F-5"/>
      <sheetName val="F-10"/>
      <sheetName val="F-11"/>
      <sheetName val="F-20"/>
      <sheetName val="F-21"/>
      <sheetName val="F-25"/>
      <sheetName val="F-26"/>
      <sheetName val="F-27"/>
      <sheetName val="G-2"/>
      <sheetName val="G-5"/>
      <sheetName val="G-7"/>
      <sheetName val="Ural med"/>
      <sheetName val="Profit &amp; Loss Total"/>
      <sheetName val="JUly97"/>
      <sheetName val="SAL-1001ok"/>
      <sheetName val="факт 2005 г."/>
      <sheetName val="Consolidated COOP KMG EP U.A."/>
      <sheetName val="PKI FV"/>
      <sheetName val="Параметры"/>
      <sheetName val="master data"/>
      <sheetName val="шапка"/>
      <sheetName val="список"/>
      <sheetName val="Sheet1"/>
    </sheetNames>
    <sheetDataSet>
      <sheetData sheetId="0" refreshError="1"/>
      <sheetData sheetId="1" refreshError="1">
        <row r="2">
          <cell r="P2" t="str">
            <v>/FRMENU~</v>
          </cell>
        </row>
        <row r="8">
          <cell r="B8">
            <v>700</v>
          </cell>
          <cell r="D8" t="str">
            <v>0</v>
          </cell>
          <cell r="T8">
            <v>0</v>
          </cell>
          <cell r="U8">
            <v>700</v>
          </cell>
        </row>
        <row r="9">
          <cell r="B9">
            <v>550</v>
          </cell>
          <cell r="D9">
            <v>1041.6666666666667</v>
          </cell>
          <cell r="T9">
            <v>1041.6666666666667</v>
          </cell>
          <cell r="U9">
            <v>550</v>
          </cell>
        </row>
        <row r="10">
          <cell r="B10">
            <v>495</v>
          </cell>
          <cell r="D10">
            <v>1406.6358024691358</v>
          </cell>
          <cell r="T10">
            <v>1406.6358024691358</v>
          </cell>
          <cell r="U10">
            <v>495</v>
          </cell>
        </row>
        <row r="11">
          <cell r="B11">
            <v>440</v>
          </cell>
          <cell r="D11">
            <v>1737.6543209876543</v>
          </cell>
          <cell r="T11">
            <v>1737.6543209876543</v>
          </cell>
          <cell r="U11">
            <v>440</v>
          </cell>
        </row>
        <row r="12">
          <cell r="B12">
            <v>385</v>
          </cell>
          <cell r="D12">
            <v>2034.7222222222226</v>
          </cell>
          <cell r="T12">
            <v>2034.7222222222226</v>
          </cell>
          <cell r="U12">
            <v>385</v>
          </cell>
        </row>
        <row r="13">
          <cell r="B13">
            <v>330</v>
          </cell>
          <cell r="D13">
            <v>2297.8395061728397</v>
          </cell>
          <cell r="T13">
            <v>2297.8395061728397</v>
          </cell>
          <cell r="U13">
            <v>330</v>
          </cell>
        </row>
        <row r="14">
          <cell r="B14">
            <v>275</v>
          </cell>
          <cell r="D14">
            <v>2527.0061728395067</v>
          </cell>
          <cell r="T14">
            <v>2527.0061728395067</v>
          </cell>
          <cell r="U14">
            <v>275</v>
          </cell>
        </row>
        <row r="15">
          <cell r="B15">
            <v>220</v>
          </cell>
          <cell r="D15">
            <v>2722.2222222222226</v>
          </cell>
          <cell r="T15">
            <v>2722.2222222222226</v>
          </cell>
          <cell r="U15">
            <v>220</v>
          </cell>
        </row>
        <row r="16">
          <cell r="B16">
            <v>165</v>
          </cell>
          <cell r="D16">
            <v>2883.4876543209884</v>
          </cell>
          <cell r="T16">
            <v>2883.4876543209884</v>
          </cell>
          <cell r="U16">
            <v>165</v>
          </cell>
        </row>
        <row r="17">
          <cell r="B17">
            <v>110</v>
          </cell>
          <cell r="D17">
            <v>3010.8024691358028</v>
          </cell>
          <cell r="T17">
            <v>3010.8024691358028</v>
          </cell>
          <cell r="U17">
            <v>110</v>
          </cell>
        </row>
        <row r="18">
          <cell r="B18">
            <v>55</v>
          </cell>
          <cell r="D18">
            <v>3104.166666666667</v>
          </cell>
          <cell r="T18">
            <v>3104.166666666667</v>
          </cell>
          <cell r="U18">
            <v>55</v>
          </cell>
          <cell r="V18" t="str">
            <v>NO SKIN</v>
          </cell>
        </row>
        <row r="19">
          <cell r="B19">
            <v>0</v>
          </cell>
          <cell r="D19">
            <v>3163.5802469135806</v>
          </cell>
          <cell r="T19">
            <v>3163.5802469135806</v>
          </cell>
          <cell r="U19">
            <v>0</v>
          </cell>
        </row>
        <row r="21">
          <cell r="T21">
            <v>0</v>
          </cell>
          <cell r="V21">
            <v>700</v>
          </cell>
        </row>
        <row r="22">
          <cell r="T22">
            <v>1041.6666666666667</v>
          </cell>
          <cell r="V22">
            <v>550</v>
          </cell>
        </row>
        <row r="23">
          <cell r="T23">
            <v>1406.6358024691358</v>
          </cell>
          <cell r="V23">
            <v>495</v>
          </cell>
        </row>
        <row r="24">
          <cell r="T24">
            <v>1737.6543209876543</v>
          </cell>
          <cell r="V24">
            <v>440</v>
          </cell>
        </row>
        <row r="25">
          <cell r="T25">
            <v>2034.7222222222226</v>
          </cell>
          <cell r="V25">
            <v>385</v>
          </cell>
        </row>
        <row r="26">
          <cell r="T26">
            <v>2297.8395061728397</v>
          </cell>
          <cell r="V26">
            <v>330</v>
          </cell>
        </row>
        <row r="27">
          <cell r="T27">
            <v>2527.0061728395067</v>
          </cell>
          <cell r="V27">
            <v>275</v>
          </cell>
        </row>
        <row r="28">
          <cell r="T28">
            <v>2722.2222222222226</v>
          </cell>
          <cell r="V28">
            <v>220</v>
          </cell>
        </row>
        <row r="29">
          <cell r="T29">
            <v>2883.4876543209884</v>
          </cell>
          <cell r="V29">
            <v>165</v>
          </cell>
        </row>
        <row r="30">
          <cell r="T30">
            <v>3010.8024691358028</v>
          </cell>
          <cell r="V30">
            <v>110</v>
          </cell>
        </row>
        <row r="31">
          <cell r="T31">
            <v>3104.166666666667</v>
          </cell>
          <cell r="V31">
            <v>55</v>
          </cell>
          <cell r="W31" t="str">
            <v>W/SKIN</v>
          </cell>
        </row>
        <row r="32">
          <cell r="T32">
            <v>3163.5802469135806</v>
          </cell>
          <cell r="V32">
            <v>0</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election activeCell="E13" sqref="E13"/>
    </sheetView>
  </sheetViews>
  <sheetFormatPr defaultColWidth="8.5703125" defaultRowHeight="12.75" x14ac:dyDescent="0.2"/>
  <cols>
    <col min="1" max="1" width="7" style="37" customWidth="1"/>
    <col min="2" max="2" width="8.7109375" style="37" customWidth="1"/>
    <col min="3" max="16384" width="8.5703125" style="37"/>
  </cols>
  <sheetData>
    <row r="2" spans="2:3" x14ac:dyDescent="0.2">
      <c r="B2" s="36"/>
    </row>
    <row r="5" spans="2:3" ht="26.25" x14ac:dyDescent="0.4">
      <c r="B5" s="38" t="s">
        <v>230</v>
      </c>
    </row>
    <row r="6" spans="2:3" ht="15.75" x14ac:dyDescent="0.25">
      <c r="B6" s="117" t="s">
        <v>231</v>
      </c>
    </row>
    <row r="7" spans="2:3" x14ac:dyDescent="0.2">
      <c r="C7" s="35"/>
    </row>
    <row r="8" spans="2:3" ht="18" x14ac:dyDescent="0.25">
      <c r="B8" s="39" t="s">
        <v>79</v>
      </c>
      <c r="C8" s="35"/>
    </row>
    <row r="9" spans="2:3" ht="15" x14ac:dyDescent="0.2">
      <c r="B9" s="232" t="s">
        <v>368</v>
      </c>
      <c r="C9" s="35"/>
    </row>
    <row r="10" spans="2:3" ht="15" x14ac:dyDescent="0.2">
      <c r="B10" s="40"/>
      <c r="C10" s="35"/>
    </row>
    <row r="11" spans="2:3" ht="15" x14ac:dyDescent="0.2">
      <c r="B11" s="40"/>
      <c r="C11" s="35"/>
    </row>
    <row r="12" spans="2:3" ht="15" x14ac:dyDescent="0.2">
      <c r="B12" s="116" t="s">
        <v>372</v>
      </c>
      <c r="C12" s="35"/>
    </row>
    <row r="13" spans="2:3" ht="15" x14ac:dyDescent="0.2">
      <c r="B13" s="40"/>
      <c r="C13" s="35"/>
    </row>
    <row r="14" spans="2:3" ht="15" x14ac:dyDescent="0.2">
      <c r="B14" s="40"/>
      <c r="C14" s="35"/>
    </row>
    <row r="15" spans="2:3" ht="15" x14ac:dyDescent="0.2">
      <c r="B15" s="40"/>
      <c r="C15" s="35"/>
    </row>
    <row r="16" spans="2:3" ht="15" x14ac:dyDescent="0.2">
      <c r="B16" s="40"/>
      <c r="C16" s="35"/>
    </row>
    <row r="17" spans="2:3" x14ac:dyDescent="0.2">
      <c r="B17" s="2"/>
      <c r="C17" s="35"/>
    </row>
    <row r="18" spans="2:3" x14ac:dyDescent="0.2">
      <c r="B18" s="41"/>
      <c r="C18" s="35"/>
    </row>
    <row r="19" spans="2:3" x14ac:dyDescent="0.2">
      <c r="B19" s="41"/>
      <c r="C19" s="35"/>
    </row>
    <row r="20" spans="2:3" x14ac:dyDescent="0.2">
      <c r="B20" s="35"/>
    </row>
  </sheetData>
  <pageMargins left="0.7" right="0.7" top="0.75" bottom="0.75" header="0.3" footer="0.3"/>
  <pageSetup paperSize="9" orientation="portrait" r:id="rId1"/>
  <customProperties>
    <customPr name="_pios_id" r:id="rId2"/>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3:C14"/>
  <sheetViews>
    <sheetView showGridLines="0" zoomScaleNormal="100" workbookViewId="0">
      <selection activeCell="B3" sqref="B3"/>
    </sheetView>
  </sheetViews>
  <sheetFormatPr defaultColWidth="8.5703125" defaultRowHeight="12.75" x14ac:dyDescent="0.2"/>
  <cols>
    <col min="1" max="1" width="5" style="35" customWidth="1"/>
    <col min="2" max="2" width="14" style="35" customWidth="1"/>
    <col min="3" max="16384" width="8.5703125" style="35"/>
  </cols>
  <sheetData>
    <row r="3" spans="2:3" ht="18.75" x14ac:dyDescent="0.25">
      <c r="B3" s="42" t="s">
        <v>80</v>
      </c>
    </row>
    <row r="5" spans="2:3" x14ac:dyDescent="0.2">
      <c r="B5" s="34" t="s">
        <v>81</v>
      </c>
      <c r="C5" s="43" t="s">
        <v>253</v>
      </c>
    </row>
    <row r="6" spans="2:3" x14ac:dyDescent="0.2">
      <c r="B6" s="34" t="s">
        <v>82</v>
      </c>
      <c r="C6" s="43" t="s">
        <v>83</v>
      </c>
    </row>
    <row r="7" spans="2:3" x14ac:dyDescent="0.2">
      <c r="B7" s="34" t="s">
        <v>88</v>
      </c>
      <c r="C7" s="43" t="s">
        <v>89</v>
      </c>
    </row>
    <row r="8" spans="2:3" x14ac:dyDescent="0.2">
      <c r="B8" s="34" t="s">
        <v>90</v>
      </c>
      <c r="C8" s="43" t="s">
        <v>91</v>
      </c>
    </row>
    <row r="9" spans="2:3" x14ac:dyDescent="0.2">
      <c r="B9" s="34" t="s">
        <v>84</v>
      </c>
      <c r="C9" s="43" t="s">
        <v>85</v>
      </c>
    </row>
    <row r="10" spans="2:3" x14ac:dyDescent="0.2">
      <c r="B10" s="34" t="s">
        <v>86</v>
      </c>
      <c r="C10" s="43" t="s">
        <v>87</v>
      </c>
    </row>
    <row r="11" spans="2:3" x14ac:dyDescent="0.2">
      <c r="B11" s="34" t="s">
        <v>167</v>
      </c>
      <c r="C11" s="43" t="s">
        <v>176</v>
      </c>
    </row>
    <row r="12" spans="2:3" x14ac:dyDescent="0.2">
      <c r="B12" s="34" t="s">
        <v>175</v>
      </c>
      <c r="C12" s="43" t="s">
        <v>176</v>
      </c>
    </row>
    <row r="13" spans="2:3" x14ac:dyDescent="0.2">
      <c r="B13" s="34" t="s">
        <v>235</v>
      </c>
      <c r="C13" s="43" t="s">
        <v>247</v>
      </c>
    </row>
    <row r="14" spans="2:3" x14ac:dyDescent="0.2">
      <c r="B14" s="34" t="s">
        <v>296</v>
      </c>
      <c r="C14" s="43" t="s">
        <v>297</v>
      </c>
    </row>
  </sheetData>
  <pageMargins left="0.25" right="0.25" top="0.75" bottom="0.75" header="0.3" footer="0.3"/>
  <pageSetup paperSize="9"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O28"/>
  <sheetViews>
    <sheetView showGridLines="0" zoomScaleNormal="100" workbookViewId="0"/>
  </sheetViews>
  <sheetFormatPr defaultColWidth="8.5703125" defaultRowHeight="12.75" x14ac:dyDescent="0.2"/>
  <cols>
    <col min="1" max="1" width="7" style="46" customWidth="1"/>
    <col min="2" max="2" width="6.5703125" style="46" customWidth="1"/>
    <col min="3" max="3" width="114.42578125" style="46" customWidth="1"/>
    <col min="4" max="16384" width="8.5703125" style="46"/>
  </cols>
  <sheetData>
    <row r="3" spans="2:15" ht="26.25" x14ac:dyDescent="0.4">
      <c r="B3" s="47" t="s">
        <v>94</v>
      </c>
    </row>
    <row r="5" spans="2:15" x14ac:dyDescent="0.2">
      <c r="B5" s="48" t="s">
        <v>95</v>
      </c>
      <c r="C5" s="49"/>
    </row>
    <row r="6" spans="2:15" x14ac:dyDescent="0.2">
      <c r="B6" s="48"/>
      <c r="C6" s="49"/>
    </row>
    <row r="7" spans="2:15" x14ac:dyDescent="0.2">
      <c r="B7" s="50"/>
      <c r="C7" s="108" t="s">
        <v>207</v>
      </c>
      <c r="D7" s="109"/>
      <c r="E7" s="109"/>
      <c r="F7" s="109"/>
      <c r="G7" s="109"/>
      <c r="H7" s="109"/>
      <c r="I7" s="109"/>
      <c r="J7" s="109"/>
    </row>
    <row r="8" spans="2:15" x14ac:dyDescent="0.2">
      <c r="B8" s="51"/>
      <c r="C8" s="110" t="s">
        <v>208</v>
      </c>
      <c r="D8" s="109"/>
      <c r="E8" s="109"/>
      <c r="F8" s="109"/>
      <c r="G8" s="109"/>
      <c r="H8" s="109"/>
      <c r="I8" s="109"/>
      <c r="J8" s="109"/>
    </row>
    <row r="9" spans="2:15" x14ac:dyDescent="0.2">
      <c r="B9" s="51"/>
      <c r="C9" s="110" t="s">
        <v>96</v>
      </c>
      <c r="D9" s="109"/>
      <c r="E9" s="109"/>
      <c r="F9" s="109"/>
      <c r="G9" s="109"/>
      <c r="H9" s="109"/>
      <c r="I9" s="109"/>
      <c r="J9" s="109"/>
    </row>
    <row r="10" spans="2:15" x14ac:dyDescent="0.2">
      <c r="B10" s="51"/>
      <c r="C10" s="110" t="s">
        <v>209</v>
      </c>
      <c r="D10" s="109"/>
      <c r="E10" s="109"/>
      <c r="F10" s="109"/>
      <c r="G10" s="109"/>
      <c r="H10" s="109"/>
      <c r="I10" s="109"/>
      <c r="J10" s="109"/>
    </row>
    <row r="11" spans="2:15" x14ac:dyDescent="0.2">
      <c r="B11" s="52"/>
      <c r="C11" s="111" t="s">
        <v>97</v>
      </c>
      <c r="D11" s="109"/>
      <c r="E11" s="109"/>
      <c r="F11" s="109"/>
      <c r="G11" s="109"/>
      <c r="H11" s="109"/>
      <c r="I11" s="109"/>
      <c r="J11" s="109"/>
    </row>
    <row r="12" spans="2:15" x14ac:dyDescent="0.2">
      <c r="B12" s="51"/>
      <c r="C12" s="53" t="s">
        <v>232</v>
      </c>
    </row>
    <row r="13" spans="2:15" x14ac:dyDescent="0.2">
      <c r="B13" s="51"/>
      <c r="C13" s="53" t="s">
        <v>303</v>
      </c>
    </row>
    <row r="14" spans="2:15" x14ac:dyDescent="0.2">
      <c r="B14" s="51"/>
      <c r="C14" s="49" t="s">
        <v>98</v>
      </c>
    </row>
    <row r="15" spans="2:15" x14ac:dyDescent="0.2">
      <c r="B15" s="52"/>
    </row>
    <row r="16" spans="2:15" x14ac:dyDescent="0.2">
      <c r="B16" s="34" t="s">
        <v>77</v>
      </c>
      <c r="C16" s="35"/>
      <c r="D16" s="35"/>
      <c r="E16" s="35"/>
      <c r="F16" s="35"/>
      <c r="G16" s="35"/>
      <c r="H16" s="35"/>
      <c r="I16" s="35"/>
      <c r="J16" s="35"/>
      <c r="K16" s="35"/>
      <c r="L16" s="35"/>
      <c r="M16" s="35"/>
      <c r="N16" s="35"/>
      <c r="O16" s="35"/>
    </row>
    <row r="17" spans="2:15" ht="99.75" customHeight="1" x14ac:dyDescent="0.2">
      <c r="C17" s="119" t="s">
        <v>223</v>
      </c>
      <c r="D17" s="35"/>
      <c r="E17" s="35"/>
      <c r="F17" s="35"/>
      <c r="G17" s="35"/>
      <c r="H17" s="35"/>
      <c r="I17" s="35"/>
      <c r="J17" s="35"/>
      <c r="K17" s="35"/>
      <c r="L17" s="35"/>
      <c r="M17" s="35"/>
      <c r="N17" s="35"/>
      <c r="O17" s="35"/>
    </row>
    <row r="18" spans="2:15" x14ac:dyDescent="0.2">
      <c r="B18" s="35"/>
      <c r="C18" s="35"/>
      <c r="D18" s="35"/>
      <c r="E18" s="35"/>
      <c r="F18" s="35"/>
      <c r="G18" s="35"/>
      <c r="H18" s="35"/>
      <c r="I18" s="35"/>
      <c r="J18" s="35"/>
      <c r="K18" s="35"/>
      <c r="L18" s="35"/>
      <c r="M18" s="35"/>
      <c r="N18" s="35"/>
      <c r="O18" s="35"/>
    </row>
    <row r="19" spans="2:15" x14ac:dyDescent="0.2">
      <c r="B19" s="34" t="s">
        <v>78</v>
      </c>
      <c r="C19" s="35"/>
      <c r="D19" s="35"/>
      <c r="E19" s="35"/>
      <c r="F19" s="35"/>
      <c r="G19" s="35"/>
      <c r="H19" s="35"/>
      <c r="I19" s="35"/>
      <c r="J19" s="35"/>
      <c r="K19" s="35"/>
      <c r="L19" s="35"/>
      <c r="M19" s="35"/>
      <c r="N19" s="35"/>
      <c r="O19" s="35"/>
    </row>
    <row r="20" spans="2:15" ht="123" customHeight="1" x14ac:dyDescent="0.2">
      <c r="B20" s="35"/>
      <c r="C20" s="119" t="s">
        <v>360</v>
      </c>
      <c r="D20" s="35"/>
      <c r="E20" s="35"/>
      <c r="F20" s="35"/>
      <c r="G20" s="35"/>
      <c r="H20" s="35"/>
      <c r="I20" s="35"/>
      <c r="J20" s="35"/>
      <c r="K20" s="35"/>
      <c r="L20" s="35"/>
      <c r="M20" s="35"/>
      <c r="N20" s="35"/>
      <c r="O20" s="35"/>
    </row>
    <row r="21" spans="2:15" ht="38.25" customHeight="1" x14ac:dyDescent="0.2">
      <c r="B21" s="35"/>
      <c r="C21" s="118"/>
      <c r="D21" s="35"/>
      <c r="E21" s="35"/>
      <c r="F21" s="35"/>
      <c r="G21" s="35"/>
      <c r="H21" s="35"/>
      <c r="I21" s="35"/>
      <c r="J21" s="35"/>
      <c r="K21" s="35"/>
      <c r="L21" s="35"/>
      <c r="M21" s="35"/>
      <c r="N21" s="35"/>
      <c r="O21" s="35"/>
    </row>
    <row r="22" spans="2:15" ht="15.75" x14ac:dyDescent="0.2">
      <c r="B22" s="35"/>
      <c r="C22" s="118"/>
      <c r="D22" s="35"/>
      <c r="E22" s="35"/>
      <c r="F22" s="35"/>
      <c r="G22" s="35"/>
      <c r="H22" s="35"/>
      <c r="I22" s="35"/>
      <c r="J22" s="35"/>
      <c r="K22" s="35"/>
      <c r="L22" s="35"/>
      <c r="M22" s="35"/>
      <c r="N22" s="35"/>
      <c r="O22" s="35"/>
    </row>
    <row r="23" spans="2:15" x14ac:dyDescent="0.2">
      <c r="B23" s="35"/>
      <c r="C23" s="35"/>
      <c r="D23" s="35"/>
      <c r="E23" s="35"/>
      <c r="F23" s="35"/>
      <c r="G23" s="35"/>
      <c r="H23" s="35"/>
      <c r="I23" s="35"/>
      <c r="J23" s="35"/>
      <c r="K23" s="35"/>
      <c r="L23" s="35"/>
      <c r="M23" s="35"/>
      <c r="N23" s="35"/>
      <c r="O23" s="35"/>
    </row>
    <row r="24" spans="2:15" x14ac:dyDescent="0.2">
      <c r="B24" s="35"/>
      <c r="C24" s="35"/>
      <c r="D24" s="35"/>
      <c r="E24" s="35"/>
      <c r="F24" s="35"/>
      <c r="G24" s="35"/>
      <c r="H24" s="35"/>
      <c r="I24" s="35"/>
      <c r="J24" s="35"/>
      <c r="K24" s="35"/>
      <c r="L24" s="35"/>
      <c r="M24" s="35"/>
      <c r="N24" s="35"/>
      <c r="O24" s="35"/>
    </row>
    <row r="25" spans="2:15" x14ac:dyDescent="0.2">
      <c r="B25" s="35"/>
      <c r="C25" s="35"/>
      <c r="D25" s="35"/>
      <c r="E25" s="35"/>
      <c r="F25" s="35"/>
      <c r="G25" s="35"/>
      <c r="H25" s="35"/>
      <c r="I25" s="35"/>
      <c r="J25" s="35"/>
      <c r="K25" s="35"/>
      <c r="L25" s="35"/>
      <c r="M25" s="35"/>
      <c r="N25" s="35"/>
      <c r="O25" s="35"/>
    </row>
    <row r="26" spans="2:15" x14ac:dyDescent="0.2">
      <c r="B26" s="35"/>
      <c r="C26" s="35"/>
      <c r="D26" s="35"/>
      <c r="E26" s="35"/>
      <c r="F26" s="35"/>
      <c r="G26" s="35"/>
      <c r="H26" s="35"/>
      <c r="I26" s="35"/>
      <c r="J26" s="35"/>
      <c r="K26" s="35"/>
      <c r="L26" s="35"/>
      <c r="M26" s="35"/>
      <c r="N26" s="35"/>
      <c r="O26" s="35"/>
    </row>
    <row r="27" spans="2:15" x14ac:dyDescent="0.2">
      <c r="B27" s="35"/>
      <c r="C27" s="35"/>
      <c r="D27" s="35"/>
      <c r="E27" s="35"/>
      <c r="F27" s="35"/>
      <c r="G27" s="35"/>
      <c r="H27" s="35"/>
      <c r="I27" s="35"/>
      <c r="J27" s="35"/>
      <c r="K27" s="35"/>
      <c r="L27" s="35"/>
      <c r="M27" s="35"/>
      <c r="N27" s="35"/>
      <c r="O27" s="35"/>
    </row>
    <row r="28" spans="2:15" x14ac:dyDescent="0.2">
      <c r="B28" s="35"/>
      <c r="C28" s="35"/>
      <c r="D28" s="35"/>
      <c r="E28" s="35"/>
      <c r="F28" s="35"/>
      <c r="G28" s="35"/>
      <c r="H28" s="35"/>
      <c r="I28" s="35"/>
      <c r="J28" s="35"/>
      <c r="K28" s="35"/>
      <c r="L28" s="35"/>
      <c r="M28" s="35"/>
      <c r="N28" s="35"/>
      <c r="O28" s="35"/>
    </row>
  </sheetData>
  <pageMargins left="0.25" right="0.25" top="0.75" bottom="0.75" header="0.3" footer="0.3"/>
  <pageSetup paperSize="9" orientation="portrait"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CA83"/>
  <sheetViews>
    <sheetView showGridLines="0" view="pageBreakPreview" zoomScaleNormal="100" zoomScaleSheetLayoutView="100" workbookViewId="0">
      <pane xSplit="3" ySplit="1" topLeftCell="D2" activePane="bottomRight" state="frozen"/>
      <selection activeCell="AF81" sqref="AF81"/>
      <selection pane="topRight" activeCell="AF81" sqref="AF81"/>
      <selection pane="bottomLeft" activeCell="AF81" sqref="AF81"/>
      <selection pane="bottomRight" activeCell="AJ47" sqref="AJ47"/>
    </sheetView>
  </sheetViews>
  <sheetFormatPr defaultColWidth="9.42578125" defaultRowHeight="12.75" outlineLevelRow="1" outlineLevelCol="1" x14ac:dyDescent="0.2"/>
  <cols>
    <col min="1" max="1" width="4" style="2" customWidth="1"/>
    <col min="2" max="2" width="64.5703125" style="2" customWidth="1"/>
    <col min="3" max="3" width="10.85546875" style="2" customWidth="1"/>
    <col min="4" max="4" width="13.5703125" style="2" hidden="1" customWidth="1" outlineLevel="1"/>
    <col min="5" max="6" width="12.5703125" style="2" hidden="1" customWidth="1" outlineLevel="1"/>
    <col min="7" max="7" width="12.5703125" style="2" customWidth="1" outlineLevel="1"/>
    <col min="8" max="10" width="12.5703125" style="2" hidden="1" customWidth="1" outlineLevel="1"/>
    <col min="11" max="11" width="12.5703125" style="2" customWidth="1" outlineLevel="1"/>
    <col min="12" max="14" width="12.5703125" style="2" hidden="1" customWidth="1" outlineLevel="1"/>
    <col min="15" max="15" width="12.5703125" style="2" customWidth="1" outlineLevel="1"/>
    <col min="16" max="18" width="12.5703125" style="2" hidden="1" customWidth="1" outlineLevel="1"/>
    <col min="19" max="19" width="12.5703125" style="2" customWidth="1" outlineLevel="1"/>
    <col min="20" max="22" width="12.5703125" style="2" hidden="1" customWidth="1" outlineLevel="1"/>
    <col min="23" max="23" width="11" style="2" customWidth="1"/>
    <col min="24" max="24" width="12.85546875" style="2" hidden="1" customWidth="1"/>
    <col min="25" max="25" width="9.42578125" style="2" hidden="1" customWidth="1"/>
    <col min="26" max="26" width="10.5703125" style="2" hidden="1" customWidth="1"/>
    <col min="27" max="27" width="13.42578125" style="2" customWidth="1"/>
    <col min="28" max="28" width="11.140625" style="2" hidden="1" customWidth="1"/>
    <col min="29" max="29" width="12.140625" style="2" hidden="1" customWidth="1"/>
    <col min="30" max="30" width="11" style="2" hidden="1" customWidth="1"/>
    <col min="31" max="31" width="13.5703125" style="2" customWidth="1"/>
    <col min="32" max="32" width="11" style="2" hidden="1" customWidth="1"/>
    <col min="33" max="34" width="13.140625" style="2" hidden="1" customWidth="1"/>
    <col min="35" max="35" width="13.28515625" style="2" customWidth="1"/>
    <col min="36" max="36" width="14" style="2" customWidth="1"/>
    <col min="37" max="16384" width="9.42578125" style="2"/>
  </cols>
  <sheetData>
    <row r="1" spans="2:79" x14ac:dyDescent="0.2">
      <c r="B1" s="3"/>
      <c r="C1" s="3"/>
      <c r="D1" s="4" t="s">
        <v>105</v>
      </c>
      <c r="E1" s="4" t="s">
        <v>106</v>
      </c>
      <c r="F1" s="4" t="s">
        <v>107</v>
      </c>
      <c r="G1" s="5">
        <v>2018</v>
      </c>
      <c r="H1" s="5" t="s">
        <v>108</v>
      </c>
      <c r="I1" s="5" t="s">
        <v>109</v>
      </c>
      <c r="J1" s="5" t="s">
        <v>110</v>
      </c>
      <c r="K1" s="5">
        <v>2019</v>
      </c>
      <c r="L1" s="5" t="s">
        <v>111</v>
      </c>
      <c r="M1" s="5" t="s">
        <v>104</v>
      </c>
      <c r="N1" s="5" t="s">
        <v>112</v>
      </c>
      <c r="O1" s="5">
        <v>2020</v>
      </c>
      <c r="P1" s="5" t="s">
        <v>102</v>
      </c>
      <c r="Q1" s="5" t="s">
        <v>101</v>
      </c>
      <c r="R1" s="5" t="s">
        <v>103</v>
      </c>
      <c r="S1" s="5">
        <v>2021</v>
      </c>
      <c r="T1" s="5" t="s">
        <v>227</v>
      </c>
      <c r="U1" s="5" t="s">
        <v>273</v>
      </c>
      <c r="V1" s="5" t="s">
        <v>295</v>
      </c>
      <c r="W1" s="5">
        <v>2022</v>
      </c>
      <c r="X1" s="5" t="s">
        <v>320</v>
      </c>
      <c r="Y1" s="5" t="s">
        <v>321</v>
      </c>
      <c r="Z1" s="5" t="s">
        <v>323</v>
      </c>
      <c r="AA1" s="5">
        <v>2023</v>
      </c>
      <c r="AB1" s="5" t="s">
        <v>332</v>
      </c>
      <c r="AC1" s="5" t="s">
        <v>336</v>
      </c>
      <c r="AD1" s="5" t="s">
        <v>338</v>
      </c>
      <c r="AE1" s="5">
        <v>2024</v>
      </c>
      <c r="AF1" s="5" t="s">
        <v>347</v>
      </c>
      <c r="AG1" s="5" t="s">
        <v>352</v>
      </c>
      <c r="AH1" s="5" t="s">
        <v>361</v>
      </c>
      <c r="AI1" s="5">
        <v>2025</v>
      </c>
      <c r="AJ1" s="5" t="s">
        <v>368</v>
      </c>
    </row>
    <row r="2" spans="2:79" x14ac:dyDescent="0.2">
      <c r="D2" s="14"/>
      <c r="E2" s="14"/>
      <c r="F2" s="14"/>
      <c r="G2" s="14"/>
      <c r="H2" s="15"/>
      <c r="I2" s="14"/>
      <c r="J2" s="14"/>
      <c r="K2" s="14"/>
      <c r="L2" s="14"/>
      <c r="M2" s="14"/>
      <c r="N2" s="15"/>
      <c r="O2" s="15"/>
      <c r="P2" s="14"/>
      <c r="Q2" s="14"/>
    </row>
    <row r="3" spans="2:79" x14ac:dyDescent="0.2">
      <c r="B3" s="7" t="s">
        <v>75</v>
      </c>
      <c r="C3" s="7"/>
      <c r="D3" s="4"/>
      <c r="E3" s="4"/>
      <c r="F3" s="4"/>
      <c r="G3" s="5"/>
      <c r="H3" s="4"/>
      <c r="I3" s="4"/>
      <c r="J3" s="4"/>
      <c r="K3" s="5"/>
      <c r="L3" s="4"/>
      <c r="M3" s="4"/>
      <c r="N3" s="4"/>
      <c r="O3" s="5"/>
      <c r="P3" s="4"/>
      <c r="Q3" s="4"/>
      <c r="R3" s="4"/>
      <c r="S3" s="5"/>
      <c r="T3" s="5"/>
      <c r="U3" s="5"/>
      <c r="V3" s="5"/>
      <c r="W3" s="5"/>
      <c r="X3" s="5"/>
      <c r="Y3" s="5"/>
      <c r="Z3" s="5"/>
      <c r="AA3" s="5"/>
      <c r="AB3" s="5"/>
      <c r="AC3" s="5"/>
      <c r="AD3" s="5"/>
      <c r="AE3" s="5"/>
      <c r="AF3" s="5"/>
      <c r="AG3" s="5"/>
      <c r="AH3" s="5"/>
      <c r="AI3" s="5"/>
      <c r="AJ3" s="5"/>
    </row>
    <row r="4" spans="2:79" outlineLevel="1" x14ac:dyDescent="0.2">
      <c r="D4" s="76"/>
      <c r="E4" s="76"/>
      <c r="F4" s="76"/>
      <c r="G4" s="76"/>
      <c r="H4" s="76"/>
      <c r="I4" s="76"/>
      <c r="J4" s="76"/>
      <c r="K4" s="76"/>
      <c r="L4" s="76"/>
      <c r="M4" s="76"/>
      <c r="N4" s="76"/>
      <c r="O4" s="76"/>
      <c r="P4" s="76"/>
      <c r="Q4" s="76"/>
      <c r="R4" s="76"/>
      <c r="S4" s="76"/>
      <c r="T4" s="76"/>
      <c r="U4" s="76"/>
      <c r="V4" s="76"/>
      <c r="W4" s="76"/>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row>
    <row r="5" spans="2:79" outlineLevel="1" x14ac:dyDescent="0.2">
      <c r="B5" s="2" t="s">
        <v>99</v>
      </c>
      <c r="C5" s="2" t="s">
        <v>168</v>
      </c>
      <c r="D5" s="76" t="str">
        <f>'5. Operational &amp; Cost Metrics'!E5</f>
        <v>not disclosed</v>
      </c>
      <c r="E5" s="76">
        <f>'5. Operational &amp; Cost Metrics'!F5</f>
        <v>23.64</v>
      </c>
      <c r="F5" s="76" t="str">
        <f>'5. Operational &amp; Cost Metrics'!G5</f>
        <v>not disclosed</v>
      </c>
      <c r="G5" s="76">
        <f>'5. Operational &amp; Cost Metrics'!H5</f>
        <v>24.46</v>
      </c>
      <c r="H5" s="76" t="str">
        <f>'5. Operational &amp; Cost Metrics'!I5</f>
        <v>not disclosed</v>
      </c>
      <c r="I5" s="76">
        <f>'5. Operational &amp; Cost Metrics'!J5</f>
        <v>26.99</v>
      </c>
      <c r="J5" s="76" t="str">
        <f>'5. Operational &amp; Cost Metrics'!K5</f>
        <v>not disclosed</v>
      </c>
      <c r="K5" s="76">
        <f>'5. Operational &amp; Cost Metrics'!L5</f>
        <v>26.6</v>
      </c>
      <c r="L5" s="76" t="str">
        <f>'5. Operational &amp; Cost Metrics'!M5</f>
        <v>not disclosed</v>
      </c>
      <c r="M5" s="76">
        <f>'5. Operational &amp; Cost Metrics'!N5</f>
        <v>27.81</v>
      </c>
      <c r="N5" s="76" t="str">
        <f>'5. Operational &amp; Cost Metrics'!O5</f>
        <v>not disclosed</v>
      </c>
      <c r="O5" s="76">
        <f>'5. Operational &amp; Cost Metrics'!P5</f>
        <v>29.54</v>
      </c>
      <c r="P5" s="76" t="str">
        <f>'5. Operational &amp; Cost Metrics'!Q5</f>
        <v>not disclosed</v>
      </c>
      <c r="Q5" s="76">
        <f>'5. Operational &amp; Cost Metrics'!R5</f>
        <v>29.63</v>
      </c>
      <c r="R5" s="76">
        <f>'5. Operational &amp; Cost Metrics'!S5</f>
        <v>30.27</v>
      </c>
      <c r="S5" s="76">
        <f>'5. Operational &amp; Cost Metrics'!T5</f>
        <v>33.11</v>
      </c>
      <c r="T5" s="76">
        <f>'5. Operational &amp; Cost Metrics'!U5</f>
        <v>39.36</v>
      </c>
      <c r="U5" s="76">
        <f>'5. Operational &amp; Cost Metrics'!V5</f>
        <v>40.880000000000003</v>
      </c>
      <c r="V5" s="76">
        <f>'5. Operational &amp; Cost Metrics'!W5</f>
        <v>42.6</v>
      </c>
      <c r="W5" s="76">
        <v>43.44</v>
      </c>
      <c r="X5" s="24">
        <f>'3.Cash Flow Statement'!X5</f>
        <v>46.75</v>
      </c>
      <c r="Y5" s="84">
        <v>47.04</v>
      </c>
      <c r="Z5" s="84">
        <v>48.3</v>
      </c>
      <c r="AA5" s="24">
        <v>55.09</v>
      </c>
      <c r="AB5" s="24">
        <v>62.53</v>
      </c>
      <c r="AC5" s="24">
        <v>66.19</v>
      </c>
      <c r="AD5" s="24">
        <v>66.81</v>
      </c>
      <c r="AE5" s="24">
        <v>69.48</v>
      </c>
      <c r="AF5" s="209">
        <v>54.71</v>
      </c>
      <c r="AG5" s="209">
        <v>58.54</v>
      </c>
      <c r="AH5" s="212">
        <v>62.97</v>
      </c>
      <c r="AI5" s="212">
        <v>65.319999999999993</v>
      </c>
      <c r="AJ5" s="209">
        <v>61.33</v>
      </c>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row>
    <row r="6" spans="2:79" outlineLevel="1" x14ac:dyDescent="0.2">
      <c r="B6" s="2" t="s">
        <v>249</v>
      </c>
      <c r="C6" s="2" t="s">
        <v>168</v>
      </c>
      <c r="D6" s="76">
        <f>'5. Operational &amp; Cost Metrics'!E6</f>
        <v>23.1</v>
      </c>
      <c r="E6" s="76">
        <f>'5. Operational &amp; Cost Metrics'!F6</f>
        <v>24.29</v>
      </c>
      <c r="F6" s="76">
        <f>'5. Operational &amp; Cost Metrics'!G6</f>
        <v>21.11</v>
      </c>
      <c r="G6" s="76">
        <f>'5. Operational &amp; Cost Metrics'!H6</f>
        <v>24.37</v>
      </c>
      <c r="H6" s="76">
        <f>'5. Operational &amp; Cost Metrics'!I6</f>
        <v>26.78</v>
      </c>
      <c r="I6" s="76">
        <f>'5. Operational &amp; Cost Metrics'!J6</f>
        <v>27.43</v>
      </c>
      <c r="J6" s="76">
        <f>'5. Operational &amp; Cost Metrics'!K6</f>
        <v>27.59</v>
      </c>
      <c r="K6" s="76">
        <f>'5. Operational &amp; Cost Metrics'!L6</f>
        <v>26.89</v>
      </c>
      <c r="L6" s="76">
        <f>'5. Operational &amp; Cost Metrics'!M6</f>
        <v>26.43</v>
      </c>
      <c r="M6" s="76">
        <f>'5. Operational &amp; Cost Metrics'!N6</f>
        <v>27.86</v>
      </c>
      <c r="N6" s="76">
        <f>'5. Operational &amp; Cost Metrics'!O6</f>
        <v>29.58</v>
      </c>
      <c r="O6" s="76">
        <f>'5. Operational &amp; Cost Metrics'!P6</f>
        <v>29.63</v>
      </c>
      <c r="P6" s="76">
        <f>'5. Operational &amp; Cost Metrics'!Q6</f>
        <v>29.71</v>
      </c>
      <c r="Q6" s="76">
        <f>'5. Operational &amp; Cost Metrics'!R6</f>
        <v>29.63</v>
      </c>
      <c r="R6" s="76">
        <f>'5. Operational &amp; Cost Metrics'!S6</f>
        <v>29.99</v>
      </c>
      <c r="S6" s="76">
        <f>'5. Operational &amp; Cost Metrics'!T6</f>
        <v>32.33</v>
      </c>
      <c r="T6" s="76">
        <f>'5. Operational &amp; Cost Metrics'!U6</f>
        <v>37.74</v>
      </c>
      <c r="U6" s="76">
        <f>'5. Operational &amp; Cost Metrics'!V6</f>
        <v>39.700000000000003</v>
      </c>
      <c r="V6" s="76">
        <f>'5. Operational &amp; Cost Metrics'!W6</f>
        <v>41.98</v>
      </c>
      <c r="W6" s="76">
        <v>42.5</v>
      </c>
      <c r="X6" s="84">
        <f>'3.Cash Flow Statement'!X6</f>
        <v>46.75</v>
      </c>
      <c r="Y6" s="84">
        <v>46.63</v>
      </c>
      <c r="Z6" s="84">
        <v>47.81</v>
      </c>
      <c r="AA6" s="84">
        <v>52.1</v>
      </c>
      <c r="AB6" s="84">
        <v>56.15</v>
      </c>
      <c r="AC6" s="84">
        <v>62.47</v>
      </c>
      <c r="AD6" s="84">
        <v>63.46</v>
      </c>
      <c r="AE6" s="84">
        <v>65.78</v>
      </c>
      <c r="AF6" s="84">
        <v>54.69</v>
      </c>
      <c r="AG6" s="84">
        <v>57.27</v>
      </c>
      <c r="AH6" s="190">
        <v>61.37</v>
      </c>
      <c r="AI6" s="190">
        <v>62.33</v>
      </c>
      <c r="AJ6" s="84">
        <v>61.33</v>
      </c>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row>
    <row r="7" spans="2:79" outlineLevel="1" x14ac:dyDescent="0.2">
      <c r="B7" s="2" t="s">
        <v>206</v>
      </c>
      <c r="C7" s="2" t="s">
        <v>168</v>
      </c>
      <c r="D7" s="76">
        <f>'5. Operational &amp; Cost Metrics'!E7</f>
        <v>21.43</v>
      </c>
      <c r="E7" s="76">
        <f>'5. Operational &amp; Cost Metrics'!F7</f>
        <v>22.13</v>
      </c>
      <c r="F7" s="76">
        <f>'5. Operational &amp; Cost Metrics'!G7</f>
        <v>26.53</v>
      </c>
      <c r="G7" s="76">
        <f>'5. Operational &amp; Cost Metrics'!H7</f>
        <v>24.59</v>
      </c>
      <c r="H7" s="76">
        <f>'5. Operational &amp; Cost Metrics'!I7</f>
        <v>27.41</v>
      </c>
      <c r="I7" s="76">
        <f>'5. Operational &amp; Cost Metrics'!J7</f>
        <v>24.62</v>
      </c>
      <c r="J7" s="76">
        <f>'5. Operational &amp; Cost Metrics'!K7</f>
        <v>25.83</v>
      </c>
      <c r="K7" s="76">
        <f>'5. Operational &amp; Cost Metrics'!L7</f>
        <v>25.64</v>
      </c>
      <c r="L7" s="76">
        <f>'5. Operational &amp; Cost Metrics'!M7</f>
        <v>25.59</v>
      </c>
      <c r="M7" s="76">
        <f>'5. Operational &amp; Cost Metrics'!N7</f>
        <v>29.46</v>
      </c>
      <c r="N7" s="76">
        <f>'5. Operational &amp; Cost Metrics'!O7</f>
        <v>30</v>
      </c>
      <c r="O7" s="76">
        <f>'5. Operational &amp; Cost Metrics'!P7</f>
        <v>29.96</v>
      </c>
      <c r="P7" s="76">
        <f>'5. Operational &amp; Cost Metrics'!Q7</f>
        <v>29.12</v>
      </c>
      <c r="Q7" s="76">
        <f>'5. Operational &amp; Cost Metrics'!R7</f>
        <v>30.18</v>
      </c>
      <c r="R7" s="76">
        <f>'5. Operational &amp; Cost Metrics'!S7</f>
        <v>31.96</v>
      </c>
      <c r="S7" s="76">
        <f>'5. Operational &amp; Cost Metrics'!T7</f>
        <v>35.28</v>
      </c>
      <c r="T7" s="76">
        <f>'5. Operational &amp; Cost Metrics'!U7</f>
        <v>50.01</v>
      </c>
      <c r="U7" s="76">
        <f>'5. Operational &amp; Cost Metrics'!V7</f>
        <v>50.09</v>
      </c>
      <c r="V7" s="76">
        <f>'5. Operational &amp; Cost Metrics'!W7</f>
        <v>49.77</v>
      </c>
      <c r="W7" s="76">
        <v>49.81</v>
      </c>
      <c r="X7" s="84">
        <v>50.68</v>
      </c>
      <c r="Y7" s="84">
        <v>52.6</v>
      </c>
      <c r="Z7" s="84">
        <v>55.94</v>
      </c>
      <c r="AA7" s="182">
        <v>62.51</v>
      </c>
      <c r="AB7" s="182">
        <v>94.33</v>
      </c>
      <c r="AC7" s="182">
        <v>91.1</v>
      </c>
      <c r="AD7" s="182">
        <v>87.93</v>
      </c>
      <c r="AE7" s="182">
        <v>85.14</v>
      </c>
      <c r="AF7" s="182">
        <v>66.180000000000007</v>
      </c>
      <c r="AG7" s="182">
        <v>69.38</v>
      </c>
      <c r="AH7" s="182">
        <v>71.680000000000007</v>
      </c>
      <c r="AI7" s="182">
        <v>73.540000000000006</v>
      </c>
      <c r="AJ7" s="24">
        <v>88.49</v>
      </c>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row>
    <row r="8" spans="2:79" outlineLevel="1" x14ac:dyDescent="0.2">
      <c r="B8" s="2" t="s">
        <v>304</v>
      </c>
      <c r="C8" s="2" t="s">
        <v>168</v>
      </c>
      <c r="D8" s="164"/>
      <c r="E8" s="164" t="str">
        <f>'5. Operational &amp; Cost Metrics'!F8</f>
        <v>not disclosed</v>
      </c>
      <c r="F8" s="164"/>
      <c r="G8" s="76">
        <f>'5. Operational &amp; Cost Metrics'!H8</f>
        <v>24.64</v>
      </c>
      <c r="H8" s="76"/>
      <c r="I8" s="76">
        <f>'5. Operational &amp; Cost Metrics'!J8</f>
        <v>26.47</v>
      </c>
      <c r="J8" s="76"/>
      <c r="K8" s="76">
        <f>'5. Operational &amp; Cost Metrics'!L8</f>
        <v>25.84</v>
      </c>
      <c r="L8" s="76"/>
      <c r="M8" s="76">
        <f>'5. Operational &amp; Cost Metrics'!N8</f>
        <v>28.66</v>
      </c>
      <c r="N8" s="76"/>
      <c r="O8" s="76">
        <f>'5. Operational &amp; Cost Metrics'!P8</f>
        <v>29.6</v>
      </c>
      <c r="P8" s="76"/>
      <c r="Q8" s="125" t="str">
        <f>'5. Operational &amp; Cost Metrics'!R8</f>
        <v>29.95</v>
      </c>
      <c r="R8" s="76"/>
      <c r="S8" s="76">
        <f>'5. Operational &amp; Cost Metrics'!T8</f>
        <v>35.049999999999997</v>
      </c>
      <c r="T8" s="76"/>
      <c r="U8" s="76">
        <f>'5. Operational &amp; Cost Metrics'!V8</f>
        <v>50.31</v>
      </c>
      <c r="V8" s="76"/>
      <c r="W8" s="76">
        <v>49.61</v>
      </c>
      <c r="X8" s="84"/>
      <c r="Y8" s="84">
        <v>52.16</v>
      </c>
      <c r="Z8" s="84"/>
      <c r="AA8" s="24">
        <v>60.53</v>
      </c>
      <c r="AB8" s="24"/>
      <c r="AC8" s="24">
        <v>92.62</v>
      </c>
      <c r="AD8" s="24"/>
      <c r="AE8" s="182">
        <v>86.28</v>
      </c>
      <c r="AF8" s="24"/>
      <c r="AG8" s="24">
        <v>69.11</v>
      </c>
      <c r="AH8" s="182"/>
      <c r="AI8" s="182">
        <v>72.75</v>
      </c>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row>
    <row r="9" spans="2:79" outlineLevel="1" x14ac:dyDescent="0.2">
      <c r="B9" s="2" t="s">
        <v>73</v>
      </c>
      <c r="C9" s="2" t="s">
        <v>248</v>
      </c>
      <c r="D9" s="2">
        <f>'5. Operational &amp; Cost Metrics'!E9</f>
        <v>323.31</v>
      </c>
      <c r="E9" s="2">
        <f>'5. Operational &amp; Cost Metrics'!F9</f>
        <v>326.49</v>
      </c>
      <c r="F9" s="2">
        <f>'5. Operational &amp; Cost Metrics'!G9</f>
        <v>336.4</v>
      </c>
      <c r="G9" s="2">
        <f>'5. Operational &amp; Cost Metrics'!H9</f>
        <v>344.9</v>
      </c>
      <c r="H9" s="2">
        <f>'5. Operational &amp; Cost Metrics'!I9</f>
        <v>378.09</v>
      </c>
      <c r="I9" s="2">
        <f>'5. Operational &amp; Cost Metrics'!J9</f>
        <v>379.31</v>
      </c>
      <c r="J9" s="2">
        <f>'5. Operational &amp; Cost Metrics'!K9</f>
        <v>381.51</v>
      </c>
      <c r="K9" s="2">
        <f>'5. Operational &amp; Cost Metrics'!L9</f>
        <v>382.87</v>
      </c>
      <c r="L9" s="2">
        <f>'5. Operational &amp; Cost Metrics'!M9</f>
        <v>391.01</v>
      </c>
      <c r="M9" s="2">
        <f>'5. Operational &amp; Cost Metrics'!N9</f>
        <v>404.59</v>
      </c>
      <c r="N9" s="2">
        <f>'5. Operational &amp; Cost Metrics'!O9</f>
        <v>409.05</v>
      </c>
      <c r="O9" s="2">
        <f>'5. Operational &amp; Cost Metrics'!P9</f>
        <v>413.36</v>
      </c>
      <c r="P9" s="2">
        <f>'5. Operational &amp; Cost Metrics'!Q9</f>
        <v>419.89</v>
      </c>
      <c r="Q9" s="76">
        <f>'5. Operational &amp; Cost Metrics'!R9</f>
        <v>424.18</v>
      </c>
      <c r="R9" s="2">
        <f>'5. Operational &amp; Cost Metrics'!S9</f>
        <v>424.69</v>
      </c>
      <c r="S9" s="2">
        <f>'5. Operational &amp; Cost Metrics'!T9</f>
        <v>426.03</v>
      </c>
      <c r="T9" s="2">
        <f>'5. Operational &amp; Cost Metrics'!U9</f>
        <v>457.02</v>
      </c>
      <c r="U9" s="2">
        <f>'5. Operational &amp; Cost Metrics'!V9</f>
        <v>449.85</v>
      </c>
      <c r="V9" s="2">
        <f>'5. Operational &amp; Cost Metrics'!W9</f>
        <v>458.44</v>
      </c>
      <c r="W9" s="76">
        <f>'5. Operational &amp; Cost Metrics'!X9</f>
        <v>460.48</v>
      </c>
      <c r="X9" s="24">
        <v>454.94</v>
      </c>
      <c r="Y9" s="84">
        <v>451.86</v>
      </c>
      <c r="Z9" s="84">
        <v>452.93</v>
      </c>
      <c r="AA9" s="183">
        <v>456.24</v>
      </c>
      <c r="AB9" s="183">
        <v>450.27</v>
      </c>
      <c r="AC9" s="183">
        <v>449</v>
      </c>
      <c r="AD9" s="183">
        <v>458.69</v>
      </c>
      <c r="AE9" s="183">
        <v>469.11</v>
      </c>
      <c r="AF9" s="210">
        <v>510.28</v>
      </c>
      <c r="AG9" s="210">
        <v>512.08000000000004</v>
      </c>
      <c r="AH9" s="210">
        <v>520.21</v>
      </c>
      <c r="AI9" s="210">
        <v>521.37</v>
      </c>
      <c r="AJ9" s="125">
        <v>497.39</v>
      </c>
    </row>
    <row r="10" spans="2:79" outlineLevel="1" x14ac:dyDescent="0.2">
      <c r="B10" s="6" t="s">
        <v>72</v>
      </c>
      <c r="C10" s="6" t="s">
        <v>248</v>
      </c>
      <c r="D10" s="6">
        <f>'5. Operational &amp; Cost Metrics'!E10</f>
        <v>318.31</v>
      </c>
      <c r="E10" s="6">
        <f>'5. Operational &amp; Cost Metrics'!F10</f>
        <v>341.08</v>
      </c>
      <c r="F10" s="6">
        <f>'5. Operational &amp; Cost Metrics'!G10</f>
        <v>363.07</v>
      </c>
      <c r="G10" s="6">
        <f>'5. Operational &amp; Cost Metrics'!H10</f>
        <v>384.2</v>
      </c>
      <c r="H10" s="6">
        <f>'5. Operational &amp; Cost Metrics'!I10</f>
        <v>380.04</v>
      </c>
      <c r="I10" s="6">
        <f>'5. Operational &amp; Cost Metrics'!J10</f>
        <v>380.53</v>
      </c>
      <c r="J10" s="6">
        <f>'5. Operational &amp; Cost Metrics'!K10</f>
        <v>387.63</v>
      </c>
      <c r="K10" s="6">
        <f>'5. Operational &amp; Cost Metrics'!L10</f>
        <v>381.18</v>
      </c>
      <c r="L10" s="6">
        <f>'5. Operational &amp; Cost Metrics'!M10</f>
        <v>448.01</v>
      </c>
      <c r="M10" s="6">
        <f>'5. Operational &amp; Cost Metrics'!N10</f>
        <v>403.83</v>
      </c>
      <c r="N10" s="6">
        <f>'5. Operational &amp; Cost Metrics'!O10</f>
        <v>429.51</v>
      </c>
      <c r="O10" s="6">
        <f>'5. Operational &amp; Cost Metrics'!P10</f>
        <v>420.71</v>
      </c>
      <c r="P10" s="6">
        <f>'5. Operational &amp; Cost Metrics'!Q10</f>
        <v>424.34</v>
      </c>
      <c r="Q10" s="6">
        <f>'5. Operational &amp; Cost Metrics'!R10</f>
        <v>427.79</v>
      </c>
      <c r="R10" s="6">
        <f>'5. Operational &amp; Cost Metrics'!S10</f>
        <v>425.67</v>
      </c>
      <c r="S10" s="6">
        <f>'5. Operational &amp; Cost Metrics'!T10</f>
        <v>431.67</v>
      </c>
      <c r="T10" s="6">
        <f>'5. Operational &amp; Cost Metrics'!U10</f>
        <v>458.2</v>
      </c>
      <c r="U10" s="6">
        <f>'5. Operational &amp; Cost Metrics'!V10</f>
        <v>465.08</v>
      </c>
      <c r="V10" s="6">
        <f>'5. Operational &amp; Cost Metrics'!W10</f>
        <v>476.89</v>
      </c>
      <c r="W10" s="6">
        <v>462.65</v>
      </c>
      <c r="X10" s="32">
        <v>448.05</v>
      </c>
      <c r="Y10" s="32">
        <v>454.13</v>
      </c>
      <c r="Z10" s="32">
        <v>474.74</v>
      </c>
      <c r="AA10" s="75" t="s">
        <v>324</v>
      </c>
      <c r="AB10" s="75">
        <v>446.78</v>
      </c>
      <c r="AC10" s="75">
        <v>471.46</v>
      </c>
      <c r="AD10" s="75">
        <v>479.23</v>
      </c>
      <c r="AE10" s="191">
        <v>523.54</v>
      </c>
      <c r="AF10" s="75">
        <v>504.44</v>
      </c>
      <c r="AG10" s="191">
        <v>520.39</v>
      </c>
      <c r="AH10" s="191">
        <v>548.79</v>
      </c>
      <c r="AI10" s="191">
        <v>502.57</v>
      </c>
      <c r="AJ10" s="75">
        <v>481.54</v>
      </c>
    </row>
    <row r="11" spans="2:79" outlineLevel="1" x14ac:dyDescent="0.2">
      <c r="B11" s="124" t="s">
        <v>301</v>
      </c>
      <c r="AA11" s="55"/>
      <c r="AB11" s="55"/>
      <c r="AC11" s="55"/>
      <c r="AD11" s="55"/>
      <c r="AE11" s="55"/>
      <c r="AF11" s="55"/>
      <c r="AG11" s="55"/>
      <c r="AH11" s="55"/>
      <c r="AI11" s="55"/>
      <c r="AJ11" s="55"/>
    </row>
    <row r="13" spans="2:79" x14ac:dyDescent="0.2">
      <c r="B13" s="7" t="s">
        <v>20</v>
      </c>
      <c r="C13" s="7"/>
      <c r="D13" s="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79" outlineLevel="1" x14ac:dyDescent="0.2"/>
    <row r="15" spans="2:79" outlineLevel="1" x14ac:dyDescent="0.2">
      <c r="B15" s="2" t="s">
        <v>2</v>
      </c>
      <c r="C15" s="2" t="s">
        <v>18</v>
      </c>
      <c r="D15" s="94">
        <v>58958</v>
      </c>
      <c r="E15" s="94">
        <v>145029</v>
      </c>
      <c r="F15" s="94">
        <v>285676</v>
      </c>
      <c r="G15" s="94">
        <v>436632</v>
      </c>
      <c r="H15" s="94">
        <v>57223</v>
      </c>
      <c r="I15" s="94">
        <v>176555</v>
      </c>
      <c r="J15" s="94">
        <v>263134</v>
      </c>
      <c r="K15" s="94">
        <v>502269</v>
      </c>
      <c r="L15" s="94">
        <v>61755</v>
      </c>
      <c r="M15" s="94">
        <v>153139</v>
      </c>
      <c r="N15" s="94">
        <v>356821</v>
      </c>
      <c r="O15" s="94">
        <v>587457</v>
      </c>
      <c r="P15" s="94">
        <v>55619</v>
      </c>
      <c r="Q15" s="94">
        <v>235501</v>
      </c>
      <c r="R15" s="94">
        <v>331311</v>
      </c>
      <c r="S15" s="94">
        <v>691011</v>
      </c>
      <c r="T15" s="94">
        <v>145277</v>
      </c>
      <c r="U15" s="94">
        <v>493716</v>
      </c>
      <c r="V15" s="94">
        <v>779547</v>
      </c>
      <c r="W15" s="94">
        <v>1001171</v>
      </c>
      <c r="X15" s="192">
        <v>380981</v>
      </c>
      <c r="Y15" s="184">
        <v>618744</v>
      </c>
      <c r="Z15" s="184">
        <v>864613</v>
      </c>
      <c r="AA15" s="184">
        <v>1434635</v>
      </c>
      <c r="AB15" s="184">
        <v>269833</v>
      </c>
      <c r="AC15" s="184">
        <v>701120</v>
      </c>
      <c r="AD15" s="184">
        <v>1138853</v>
      </c>
      <c r="AE15" s="203">
        <v>1813352</v>
      </c>
      <c r="AF15" s="203">
        <v>214409</v>
      </c>
      <c r="AG15" s="203">
        <v>660167</v>
      </c>
      <c r="AH15" s="203">
        <v>1192894</v>
      </c>
      <c r="AI15" s="203">
        <v>1803049</v>
      </c>
      <c r="AJ15" s="92">
        <v>154224</v>
      </c>
    </row>
    <row r="16" spans="2:79" outlineLevel="1" x14ac:dyDescent="0.2">
      <c r="B16" s="6" t="s">
        <v>3</v>
      </c>
      <c r="C16" s="6" t="s">
        <v>18</v>
      </c>
      <c r="D16" s="103">
        <v>-45365</v>
      </c>
      <c r="E16" s="103">
        <f>-113106</f>
        <v>-113106</v>
      </c>
      <c r="F16" s="104">
        <v>-219952</v>
      </c>
      <c r="G16" s="103">
        <v>-313817</v>
      </c>
      <c r="H16" s="103">
        <v>-39118</v>
      </c>
      <c r="I16" s="103">
        <v>-129596</v>
      </c>
      <c r="J16" s="103">
        <v>-160836</v>
      </c>
      <c r="K16" s="103">
        <v>-307498</v>
      </c>
      <c r="L16" s="135">
        <v>-36546</v>
      </c>
      <c r="M16" s="103">
        <v>-89338</v>
      </c>
      <c r="N16" s="135">
        <v>-178541</v>
      </c>
      <c r="O16" s="103">
        <v>-319624</v>
      </c>
      <c r="P16" s="103">
        <v>-38146</v>
      </c>
      <c r="Q16" s="135">
        <v>-154045</v>
      </c>
      <c r="R16" s="135">
        <v>-213543</v>
      </c>
      <c r="S16" s="135">
        <v>-402967</v>
      </c>
      <c r="T16" s="135">
        <v>-74030</v>
      </c>
      <c r="U16" s="135">
        <v>-291532</v>
      </c>
      <c r="V16" s="135">
        <v>-443122</v>
      </c>
      <c r="W16" s="135">
        <v>-475097</v>
      </c>
      <c r="X16" s="193">
        <v>-229204</v>
      </c>
      <c r="Y16" s="193">
        <v>-320543</v>
      </c>
      <c r="Z16" s="193">
        <v>-472799</v>
      </c>
      <c r="AA16" s="193">
        <v>-671862</v>
      </c>
      <c r="AB16" s="193">
        <v>-168755</v>
      </c>
      <c r="AC16" s="193">
        <v>-443363</v>
      </c>
      <c r="AD16" s="193">
        <v>-692821</v>
      </c>
      <c r="AE16" s="193">
        <v>-931621</v>
      </c>
      <c r="AF16" s="193">
        <v>-137813</v>
      </c>
      <c r="AG16" s="193">
        <v>-373666</v>
      </c>
      <c r="AH16" s="193">
        <v>-643192</v>
      </c>
      <c r="AI16" s="193">
        <v>-940653</v>
      </c>
      <c r="AJ16" s="193">
        <v>-104054</v>
      </c>
    </row>
    <row r="17" spans="2:36" s="9" customFormat="1" outlineLevel="1" x14ac:dyDescent="0.2">
      <c r="B17" s="20" t="s">
        <v>4</v>
      </c>
      <c r="C17" s="20" t="s">
        <v>18</v>
      </c>
      <c r="D17" s="105">
        <f t="shared" ref="D17:L17" si="0">SUM(D15:D16)</f>
        <v>13593</v>
      </c>
      <c r="E17" s="105">
        <f t="shared" si="0"/>
        <v>31923</v>
      </c>
      <c r="F17" s="106">
        <f t="shared" si="0"/>
        <v>65724</v>
      </c>
      <c r="G17" s="105">
        <v>122815</v>
      </c>
      <c r="H17" s="105">
        <f t="shared" si="0"/>
        <v>18105</v>
      </c>
      <c r="I17" s="105">
        <f t="shared" si="0"/>
        <v>46959</v>
      </c>
      <c r="J17" s="105">
        <f t="shared" si="0"/>
        <v>102298</v>
      </c>
      <c r="K17" s="105">
        <v>194771</v>
      </c>
      <c r="L17" s="105">
        <f t="shared" si="0"/>
        <v>25209</v>
      </c>
      <c r="M17" s="105">
        <f>SUM(M15:M16)</f>
        <v>63801</v>
      </c>
      <c r="N17" s="105">
        <f>SUM(N15:N16)</f>
        <v>178280</v>
      </c>
      <c r="O17" s="105">
        <v>267833</v>
      </c>
      <c r="P17" s="105">
        <f t="shared" ref="P17:V17" si="1">SUM(P15:P16)</f>
        <v>17473</v>
      </c>
      <c r="Q17" s="105">
        <f t="shared" si="1"/>
        <v>81456</v>
      </c>
      <c r="R17" s="105">
        <f t="shared" si="1"/>
        <v>117768</v>
      </c>
      <c r="S17" s="105">
        <f t="shared" si="1"/>
        <v>288044</v>
      </c>
      <c r="T17" s="105">
        <f t="shared" si="1"/>
        <v>71247</v>
      </c>
      <c r="U17" s="105">
        <f t="shared" si="1"/>
        <v>202184</v>
      </c>
      <c r="V17" s="105">
        <f t="shared" si="1"/>
        <v>336425</v>
      </c>
      <c r="W17" s="105">
        <v>526074</v>
      </c>
      <c r="X17" s="194">
        <f>X15+X16</f>
        <v>151777</v>
      </c>
      <c r="Y17" s="194">
        <f>Y15+Y16</f>
        <v>298201</v>
      </c>
      <c r="Z17" s="194">
        <f t="shared" ref="Z17:AE17" si="2">Z15+Z16</f>
        <v>391814</v>
      </c>
      <c r="AA17" s="194">
        <f t="shared" si="2"/>
        <v>762773</v>
      </c>
      <c r="AB17" s="194">
        <f t="shared" si="2"/>
        <v>101078</v>
      </c>
      <c r="AC17" s="194">
        <f t="shared" si="2"/>
        <v>257757</v>
      </c>
      <c r="AD17" s="194">
        <f t="shared" si="2"/>
        <v>446032</v>
      </c>
      <c r="AE17" s="194">
        <f t="shared" si="2"/>
        <v>881731</v>
      </c>
      <c r="AF17" s="194">
        <v>76596</v>
      </c>
      <c r="AG17" s="194">
        <f>AG15+AG16</f>
        <v>286501</v>
      </c>
      <c r="AH17" s="194">
        <f>AH15+AH16</f>
        <v>549702</v>
      </c>
      <c r="AI17" s="194">
        <f>AI15+AI16</f>
        <v>862396</v>
      </c>
      <c r="AJ17" s="225">
        <f>AJ15+AJ16</f>
        <v>50170</v>
      </c>
    </row>
    <row r="18" spans="2:36" outlineLevel="1" x14ac:dyDescent="0.2">
      <c r="B18" s="2" t="s">
        <v>263</v>
      </c>
      <c r="C18" s="2" t="s">
        <v>18</v>
      </c>
      <c r="D18" s="104">
        <v>-1951</v>
      </c>
      <c r="E18" s="104">
        <v>-3361</v>
      </c>
      <c r="F18" s="104">
        <v>-5306</v>
      </c>
      <c r="G18" s="104">
        <v>-10530</v>
      </c>
      <c r="H18" s="104">
        <v>-1454</v>
      </c>
      <c r="I18" s="136">
        <v>-4108</v>
      </c>
      <c r="J18" s="136">
        <v>-7565</v>
      </c>
      <c r="K18" s="136">
        <v>-10827</v>
      </c>
      <c r="L18" s="136">
        <v>-3133</v>
      </c>
      <c r="M18" s="136">
        <v>-4936</v>
      </c>
      <c r="N18" s="136">
        <v>-10391</v>
      </c>
      <c r="O18" s="104">
        <v>-14352</v>
      </c>
      <c r="P18" s="136">
        <v>-1574</v>
      </c>
      <c r="Q18" s="136">
        <v>-3642</v>
      </c>
      <c r="R18" s="136">
        <v>-6236</v>
      </c>
      <c r="S18" s="136">
        <v>-15706</v>
      </c>
      <c r="T18" s="136">
        <v>-3467</v>
      </c>
      <c r="U18" s="136">
        <v>-10592</v>
      </c>
      <c r="V18" s="136">
        <v>-16939</v>
      </c>
      <c r="W18" s="136">
        <v>-25605</v>
      </c>
      <c r="X18" s="181">
        <v>-6967</v>
      </c>
      <c r="Y18" s="181">
        <v>-13521</v>
      </c>
      <c r="Z18" s="181">
        <v>-16369</v>
      </c>
      <c r="AA18" s="181">
        <v>-28851</v>
      </c>
      <c r="AB18" s="181">
        <v>-4975</v>
      </c>
      <c r="AC18" s="181">
        <v>-10760</v>
      </c>
      <c r="AD18" s="181">
        <v>-16975</v>
      </c>
      <c r="AE18" s="181">
        <v>-26216</v>
      </c>
      <c r="AF18" s="181">
        <v>-7219</v>
      </c>
      <c r="AG18" s="181">
        <v>-12012</v>
      </c>
      <c r="AH18" s="181">
        <v>-19257</v>
      </c>
      <c r="AI18" s="181">
        <v>-34107</v>
      </c>
      <c r="AJ18" s="181">
        <v>-3091</v>
      </c>
    </row>
    <row r="19" spans="2:36" outlineLevel="1" x14ac:dyDescent="0.2">
      <c r="B19" s="68" t="s">
        <v>264</v>
      </c>
      <c r="C19" s="2" t="s">
        <v>18</v>
      </c>
      <c r="D19" s="104">
        <v>-5883</v>
      </c>
      <c r="E19" s="104">
        <v>-12573</v>
      </c>
      <c r="F19" s="104">
        <v>-18821</v>
      </c>
      <c r="G19" s="104">
        <v>-34805</v>
      </c>
      <c r="H19" s="136">
        <v>-6229</v>
      </c>
      <c r="I19" s="136">
        <v>-15757</v>
      </c>
      <c r="J19" s="136">
        <v>-23296</v>
      </c>
      <c r="K19" s="136">
        <v>-32024</v>
      </c>
      <c r="L19" s="136">
        <v>-6151</v>
      </c>
      <c r="M19" s="136">
        <v>-11370</v>
      </c>
      <c r="N19" s="136">
        <v>-19672</v>
      </c>
      <c r="O19" s="104">
        <v>-29582</v>
      </c>
      <c r="P19" s="136">
        <v>-6342</v>
      </c>
      <c r="Q19" s="136">
        <v>-16499</v>
      </c>
      <c r="R19" s="136">
        <v>-24567</v>
      </c>
      <c r="S19" s="136">
        <v>-34105</v>
      </c>
      <c r="T19" s="136">
        <v>-7229</v>
      </c>
      <c r="U19" s="136">
        <v>-18774</v>
      </c>
      <c r="V19" s="136">
        <v>-28090</v>
      </c>
      <c r="W19" s="136">
        <v>-44507</v>
      </c>
      <c r="X19" s="181">
        <v>-17915</v>
      </c>
      <c r="Y19" s="181">
        <v>-32183</v>
      </c>
      <c r="Z19" s="181">
        <v>-41036</v>
      </c>
      <c r="AA19" s="181">
        <v>-53110</v>
      </c>
      <c r="AB19" s="181">
        <v>-8231</v>
      </c>
      <c r="AC19" s="181">
        <v>-20274</v>
      </c>
      <c r="AD19" s="181">
        <v>-30361</v>
      </c>
      <c r="AE19" s="181">
        <v>-48666</v>
      </c>
      <c r="AF19" s="181">
        <v>-10468</v>
      </c>
      <c r="AG19" s="181">
        <v>-20824</v>
      </c>
      <c r="AH19" s="181">
        <v>-32096</v>
      </c>
      <c r="AI19" s="181">
        <v>-49311</v>
      </c>
      <c r="AJ19" s="181">
        <v>-12119</v>
      </c>
    </row>
    <row r="20" spans="2:36" outlineLevel="1" x14ac:dyDescent="0.2">
      <c r="B20" s="68" t="s">
        <v>8</v>
      </c>
      <c r="C20" s="2" t="s">
        <v>18</v>
      </c>
      <c r="D20" s="104">
        <v>932</v>
      </c>
      <c r="E20" s="104">
        <v>53</v>
      </c>
      <c r="F20" s="104">
        <v>26</v>
      </c>
      <c r="G20" s="104">
        <v>-3770</v>
      </c>
      <c r="H20" s="136">
        <v>-329</v>
      </c>
      <c r="I20" s="136">
        <v>-329</v>
      </c>
      <c r="J20" s="136">
        <v>-286</v>
      </c>
      <c r="K20" s="136">
        <v>-223</v>
      </c>
      <c r="L20" s="68">
        <v>315</v>
      </c>
      <c r="M20" s="68">
        <v>192</v>
      </c>
      <c r="N20" s="68">
        <v>178</v>
      </c>
      <c r="O20" s="68">
        <v>357</v>
      </c>
      <c r="P20" s="68">
        <v>3</v>
      </c>
      <c r="Q20" s="136">
        <v>80</v>
      </c>
      <c r="R20" s="136">
        <v>-233</v>
      </c>
      <c r="S20" s="136">
        <v>-208</v>
      </c>
      <c r="T20" s="136">
        <v>69</v>
      </c>
      <c r="U20" s="136">
        <v>133</v>
      </c>
      <c r="V20" s="136">
        <v>101</v>
      </c>
      <c r="W20" s="136">
        <v>132</v>
      </c>
      <c r="X20" s="181">
        <v>-445</v>
      </c>
      <c r="Y20" s="181">
        <v>-563</v>
      </c>
      <c r="Z20" s="181">
        <v>-892</v>
      </c>
      <c r="AA20" s="181">
        <v>-15935</v>
      </c>
      <c r="AB20" s="181">
        <v>547</v>
      </c>
      <c r="AC20" s="181">
        <v>14167</v>
      </c>
      <c r="AD20" s="181">
        <v>14792</v>
      </c>
      <c r="AE20" s="181">
        <v>14545</v>
      </c>
      <c r="AF20" s="181">
        <v>766</v>
      </c>
      <c r="AG20" s="181">
        <v>-474</v>
      </c>
      <c r="AH20" s="181">
        <v>-193</v>
      </c>
      <c r="AI20" s="181">
        <v>786</v>
      </c>
      <c r="AJ20" s="181">
        <v>346</v>
      </c>
    </row>
    <row r="21" spans="2:36" outlineLevel="1" x14ac:dyDescent="0.2">
      <c r="B21" s="68" t="s">
        <v>9</v>
      </c>
      <c r="C21" s="2" t="s">
        <v>18</v>
      </c>
      <c r="D21" s="104" t="s">
        <v>100</v>
      </c>
      <c r="E21" s="104">
        <v>-3539</v>
      </c>
      <c r="F21" s="104">
        <v>-2192</v>
      </c>
      <c r="G21" s="104">
        <v>9280</v>
      </c>
      <c r="H21" s="136">
        <v>-81</v>
      </c>
      <c r="I21" s="136">
        <v>-969</v>
      </c>
      <c r="J21" s="136">
        <v>-589</v>
      </c>
      <c r="K21" s="136">
        <v>-3176</v>
      </c>
      <c r="L21" s="68">
        <v>756</v>
      </c>
      <c r="M21" s="68">
        <v>626</v>
      </c>
      <c r="N21" s="68">
        <v>226</v>
      </c>
      <c r="O21" s="104">
        <v>-2088</v>
      </c>
      <c r="P21" s="104">
        <v>-68</v>
      </c>
      <c r="Q21" s="136">
        <v>-1071</v>
      </c>
      <c r="R21" s="68">
        <v>580</v>
      </c>
      <c r="S21" s="68">
        <v>-3805</v>
      </c>
      <c r="T21" s="68">
        <v>208</v>
      </c>
      <c r="U21" s="68">
        <v>315</v>
      </c>
      <c r="V21" s="68">
        <v>57</v>
      </c>
      <c r="W21" s="68">
        <v>176</v>
      </c>
      <c r="X21" s="181">
        <v>68</v>
      </c>
      <c r="Y21" s="181">
        <v>245</v>
      </c>
      <c r="Z21" s="181">
        <v>198</v>
      </c>
      <c r="AA21" s="181">
        <v>229</v>
      </c>
      <c r="AB21" s="181">
        <v>64</v>
      </c>
      <c r="AC21" s="181">
        <v>107</v>
      </c>
      <c r="AD21" s="181">
        <v>117</v>
      </c>
      <c r="AE21" s="181">
        <v>-1114</v>
      </c>
      <c r="AF21" s="181">
        <v>-1</v>
      </c>
      <c r="AG21" s="181">
        <v>3</v>
      </c>
      <c r="AH21" s="181">
        <v>5</v>
      </c>
      <c r="AI21" s="181">
        <v>-580</v>
      </c>
    </row>
    <row r="22" spans="2:36" outlineLevel="1" x14ac:dyDescent="0.2">
      <c r="B22" s="68" t="s">
        <v>10</v>
      </c>
      <c r="C22" s="2" t="s">
        <v>18</v>
      </c>
      <c r="D22" s="104">
        <v>-4017</v>
      </c>
      <c r="E22" s="104">
        <v>1296</v>
      </c>
      <c r="F22" s="104">
        <v>5578</v>
      </c>
      <c r="G22" s="104">
        <v>7250</v>
      </c>
      <c r="H22" s="136">
        <v>-382</v>
      </c>
      <c r="I22" s="136">
        <v>-467</v>
      </c>
      <c r="J22" s="136">
        <v>-397</v>
      </c>
      <c r="K22" s="136">
        <v>83</v>
      </c>
      <c r="L22" s="94">
        <v>5983</v>
      </c>
      <c r="M22" s="94">
        <v>3331</v>
      </c>
      <c r="N22" s="94">
        <v>6373</v>
      </c>
      <c r="O22" s="94">
        <v>3759</v>
      </c>
      <c r="P22" s="94">
        <v>1129</v>
      </c>
      <c r="Q22" s="136">
        <v>3037</v>
      </c>
      <c r="R22" s="94">
        <v>2110</v>
      </c>
      <c r="S22" s="94">
        <v>3345</v>
      </c>
      <c r="T22" s="94">
        <v>23285</v>
      </c>
      <c r="U22" s="94">
        <v>17126</v>
      </c>
      <c r="V22" s="94">
        <v>17543</v>
      </c>
      <c r="W22" s="94">
        <v>17304</v>
      </c>
      <c r="X22" s="181">
        <v>-10877</v>
      </c>
      <c r="Y22" s="181">
        <v>-10729</v>
      </c>
      <c r="Z22" s="181">
        <v>33</v>
      </c>
      <c r="AA22" s="181">
        <v>-21330</v>
      </c>
      <c r="AB22" s="181">
        <v>-10510</v>
      </c>
      <c r="AC22" s="181">
        <v>7341</v>
      </c>
      <c r="AD22" s="181">
        <v>19567</v>
      </c>
      <c r="AE22" s="181">
        <v>73494</v>
      </c>
      <c r="AF22" s="181">
        <v>-24174</v>
      </c>
      <c r="AG22" s="181">
        <v>-12741</v>
      </c>
      <c r="AH22" s="181">
        <v>-1530</v>
      </c>
      <c r="AI22" s="181">
        <v>-32848</v>
      </c>
      <c r="AJ22" s="181">
        <v>-22100</v>
      </c>
    </row>
    <row r="23" spans="2:36" outlineLevel="1" x14ac:dyDescent="0.2">
      <c r="B23" s="57" t="s">
        <v>334</v>
      </c>
      <c r="C23" s="2" t="s">
        <v>18</v>
      </c>
      <c r="D23" s="104">
        <v>313517</v>
      </c>
      <c r="E23" s="104">
        <v>313517</v>
      </c>
      <c r="F23" s="104">
        <v>313517</v>
      </c>
      <c r="G23" s="104">
        <v>347479</v>
      </c>
      <c r="H23" s="94">
        <v>54649</v>
      </c>
      <c r="I23" s="94">
        <v>54649</v>
      </c>
      <c r="J23" s="136">
        <v>54649</v>
      </c>
      <c r="K23" s="136">
        <v>54649</v>
      </c>
      <c r="L23" s="94" t="s">
        <v>100</v>
      </c>
      <c r="M23" s="94" t="s">
        <v>100</v>
      </c>
      <c r="N23" s="94" t="s">
        <v>100</v>
      </c>
      <c r="O23" s="94" t="s">
        <v>100</v>
      </c>
      <c r="P23" s="107" t="s">
        <v>100</v>
      </c>
      <c r="Q23" s="137" t="s">
        <v>100</v>
      </c>
      <c r="R23" s="107" t="s">
        <v>100</v>
      </c>
      <c r="S23" s="107" t="s">
        <v>100</v>
      </c>
      <c r="T23" s="107" t="s">
        <v>100</v>
      </c>
      <c r="U23" s="107" t="s">
        <v>100</v>
      </c>
      <c r="V23" s="107"/>
      <c r="W23" s="107"/>
      <c r="X23" s="181"/>
      <c r="Y23" s="181"/>
      <c r="Z23" s="181"/>
      <c r="AA23" s="181"/>
      <c r="AB23" s="181">
        <v>7217</v>
      </c>
      <c r="AC23" s="181">
        <v>295719</v>
      </c>
      <c r="AD23" s="181">
        <v>295719</v>
      </c>
      <c r="AE23" s="181">
        <v>295719</v>
      </c>
      <c r="AF23" s="181"/>
      <c r="AG23" s="181"/>
      <c r="AH23" s="181"/>
      <c r="AI23" s="181"/>
      <c r="AJ23" s="181"/>
    </row>
    <row r="24" spans="2:36" outlineLevel="1" x14ac:dyDescent="0.2">
      <c r="B24" s="68" t="s">
        <v>11</v>
      </c>
      <c r="C24" s="2" t="s">
        <v>18</v>
      </c>
      <c r="D24" s="104" t="s">
        <v>100</v>
      </c>
      <c r="E24" s="104" t="s">
        <v>100</v>
      </c>
      <c r="F24" s="104" t="s">
        <v>100</v>
      </c>
      <c r="G24" s="104">
        <v>-511</v>
      </c>
      <c r="H24" s="68" t="s">
        <v>100</v>
      </c>
      <c r="I24" s="68" t="s">
        <v>100</v>
      </c>
      <c r="J24" s="94" t="s">
        <v>100</v>
      </c>
      <c r="K24" s="94">
        <v>5634</v>
      </c>
      <c r="L24" s="94">
        <v>22063</v>
      </c>
      <c r="M24" s="94">
        <v>22063</v>
      </c>
      <c r="N24" s="94">
        <v>22063</v>
      </c>
      <c r="O24" s="94">
        <v>22063</v>
      </c>
      <c r="P24" s="107" t="s">
        <v>100</v>
      </c>
      <c r="Q24" s="137" t="s">
        <v>100</v>
      </c>
      <c r="R24" s="79" t="s">
        <v>100</v>
      </c>
      <c r="S24" s="79" t="s">
        <v>100</v>
      </c>
      <c r="T24" s="79" t="s">
        <v>100</v>
      </c>
      <c r="U24" s="79" t="s">
        <v>100</v>
      </c>
      <c r="V24" s="79"/>
      <c r="W24" s="79"/>
      <c r="X24" s="181"/>
      <c r="Y24" s="181"/>
      <c r="Z24" s="181"/>
      <c r="AA24" s="181"/>
      <c r="AB24" s="181"/>
      <c r="AC24" s="181"/>
      <c r="AD24" s="181"/>
      <c r="AE24" s="181"/>
      <c r="AF24" s="181"/>
      <c r="AG24" s="181"/>
      <c r="AH24" s="181"/>
      <c r="AI24" s="181"/>
      <c r="AJ24" s="181"/>
    </row>
    <row r="25" spans="2:36" s="68" customFormat="1" outlineLevel="1" x14ac:dyDescent="0.2">
      <c r="B25" s="68" t="s">
        <v>12</v>
      </c>
      <c r="C25" s="68" t="s">
        <v>18</v>
      </c>
      <c r="D25" s="104" t="s">
        <v>100</v>
      </c>
      <c r="E25" s="104">
        <v>79</v>
      </c>
      <c r="F25" s="104">
        <v>777</v>
      </c>
      <c r="G25" s="104">
        <v>1242</v>
      </c>
      <c r="H25" s="68">
        <v>937</v>
      </c>
      <c r="I25" s="94">
        <v>23784</v>
      </c>
      <c r="J25" s="94">
        <v>24073</v>
      </c>
      <c r="K25" s="94">
        <v>19719</v>
      </c>
      <c r="L25" s="94">
        <v>522</v>
      </c>
      <c r="M25" s="94">
        <v>1302</v>
      </c>
      <c r="N25" s="94">
        <v>1827</v>
      </c>
      <c r="O25" s="94">
        <v>7370</v>
      </c>
      <c r="P25" s="94">
        <v>792</v>
      </c>
      <c r="Q25" s="136">
        <v>1541</v>
      </c>
      <c r="R25" s="94">
        <v>2166</v>
      </c>
      <c r="S25" s="94">
        <v>7525</v>
      </c>
      <c r="T25" s="94">
        <v>2758</v>
      </c>
      <c r="U25" s="94">
        <v>3489</v>
      </c>
      <c r="V25" s="94">
        <v>15223</v>
      </c>
      <c r="W25" s="94">
        <v>21717</v>
      </c>
      <c r="X25" s="136">
        <v>516</v>
      </c>
      <c r="Y25" s="136">
        <v>1071</v>
      </c>
      <c r="Z25" s="136">
        <v>2255</v>
      </c>
      <c r="AA25" s="136">
        <v>4474</v>
      </c>
      <c r="AB25" s="136">
        <v>17539</v>
      </c>
      <c r="AC25" s="136">
        <v>16122</v>
      </c>
      <c r="AD25" s="136">
        <v>18467</v>
      </c>
      <c r="AE25" s="136">
        <v>20475</v>
      </c>
      <c r="AF25" s="136">
        <v>380</v>
      </c>
      <c r="AG25" s="136">
        <v>1540</v>
      </c>
      <c r="AH25" s="136">
        <v>6597</v>
      </c>
      <c r="AI25" s="136">
        <v>24071</v>
      </c>
      <c r="AJ25" s="136">
        <v>637</v>
      </c>
    </row>
    <row r="26" spans="2:36" outlineLevel="1" x14ac:dyDescent="0.2">
      <c r="B26" s="68" t="s">
        <v>13</v>
      </c>
      <c r="C26" s="2" t="s">
        <v>18</v>
      </c>
      <c r="D26" s="104">
        <v>-651</v>
      </c>
      <c r="E26" s="104">
        <v>-1187</v>
      </c>
      <c r="F26" s="104">
        <v>-1746</v>
      </c>
      <c r="G26" s="104">
        <v>-5849</v>
      </c>
      <c r="H26" s="136">
        <v>-668</v>
      </c>
      <c r="I26" s="136">
        <v>-1886</v>
      </c>
      <c r="J26" s="136">
        <v>-3132</v>
      </c>
      <c r="K26" s="136">
        <v>-6797</v>
      </c>
      <c r="L26" s="136">
        <v>-1635</v>
      </c>
      <c r="M26" s="136">
        <v>-4365</v>
      </c>
      <c r="N26" s="136">
        <v>-4840</v>
      </c>
      <c r="O26" s="136">
        <v>-7605</v>
      </c>
      <c r="P26" s="136">
        <v>-828</v>
      </c>
      <c r="Q26" s="136">
        <v>-4177</v>
      </c>
      <c r="R26" s="136">
        <v>-7805</v>
      </c>
      <c r="S26" s="136">
        <v>-15394</v>
      </c>
      <c r="T26" s="136">
        <v>-10385</v>
      </c>
      <c r="U26" s="136">
        <v>-10325</v>
      </c>
      <c r="V26" s="136">
        <v>-10377</v>
      </c>
      <c r="W26" s="136">
        <v>-9564</v>
      </c>
      <c r="X26" s="181">
        <v>-5558</v>
      </c>
      <c r="Y26" s="181">
        <v>-5129</v>
      </c>
      <c r="Z26" s="181">
        <v>-26499</v>
      </c>
      <c r="AA26" s="181">
        <v>-50210</v>
      </c>
      <c r="AB26" s="181">
        <v>-1624</v>
      </c>
      <c r="AC26" s="181">
        <v>-4638</v>
      </c>
      <c r="AD26" s="181">
        <v>-8088</v>
      </c>
      <c r="AE26" s="181">
        <v>-12293</v>
      </c>
      <c r="AF26" s="181">
        <v>-3244</v>
      </c>
      <c r="AG26" s="181">
        <v>-5678</v>
      </c>
      <c r="AH26" s="181">
        <v>-11324</v>
      </c>
      <c r="AI26" s="181">
        <v>-17250</v>
      </c>
      <c r="AJ26" s="181">
        <v>-3251</v>
      </c>
    </row>
    <row r="27" spans="2:36" outlineLevel="1" x14ac:dyDescent="0.2">
      <c r="B27" s="68" t="s">
        <v>5</v>
      </c>
      <c r="C27" s="2" t="s">
        <v>18</v>
      </c>
      <c r="D27" s="104" t="s">
        <v>100</v>
      </c>
      <c r="E27" s="104">
        <v>2638</v>
      </c>
      <c r="F27" s="104">
        <v>4408</v>
      </c>
      <c r="G27" s="104">
        <v>3949</v>
      </c>
      <c r="H27" s="94">
        <v>1748</v>
      </c>
      <c r="I27" s="136">
        <v>2795</v>
      </c>
      <c r="J27" s="94">
        <v>3927</v>
      </c>
      <c r="K27" s="94">
        <v>3990</v>
      </c>
      <c r="L27" s="94">
        <v>1720</v>
      </c>
      <c r="M27" s="94">
        <v>3289</v>
      </c>
      <c r="N27" s="94">
        <v>4389</v>
      </c>
      <c r="O27" s="94">
        <v>4983</v>
      </c>
      <c r="P27" s="94">
        <v>1173</v>
      </c>
      <c r="Q27" s="136">
        <v>2767</v>
      </c>
      <c r="R27" s="94">
        <v>5471</v>
      </c>
      <c r="S27" s="94">
        <v>7077</v>
      </c>
      <c r="T27" s="94">
        <v>2027</v>
      </c>
      <c r="U27" s="94">
        <v>11400</v>
      </c>
      <c r="V27" s="94">
        <v>14168</v>
      </c>
      <c r="W27" s="94">
        <v>17327</v>
      </c>
      <c r="X27" s="181">
        <v>5531</v>
      </c>
      <c r="Y27" s="181">
        <v>15255</v>
      </c>
      <c r="Z27" s="181">
        <v>28721</v>
      </c>
      <c r="AA27" s="181">
        <v>41506</v>
      </c>
      <c r="AB27" s="181">
        <v>7671</v>
      </c>
      <c r="AC27" s="181">
        <v>15318</v>
      </c>
      <c r="AD27" s="181">
        <v>20530</v>
      </c>
      <c r="AE27" s="181">
        <v>30527</v>
      </c>
      <c r="AF27" s="181">
        <v>12022</v>
      </c>
      <c r="AG27" s="181">
        <v>30914</v>
      </c>
      <c r="AH27" s="181">
        <v>48353</v>
      </c>
      <c r="AI27" s="181">
        <v>62565</v>
      </c>
      <c r="AJ27" s="181">
        <v>11092</v>
      </c>
    </row>
    <row r="28" spans="2:36" outlineLevel="1" x14ac:dyDescent="0.2">
      <c r="B28" s="68" t="s">
        <v>6</v>
      </c>
      <c r="C28" s="2" t="s">
        <v>18</v>
      </c>
      <c r="D28" s="104">
        <v>-1998</v>
      </c>
      <c r="E28" s="104">
        <v>-5088</v>
      </c>
      <c r="F28" s="104">
        <v>-9750</v>
      </c>
      <c r="G28" s="104">
        <v>-12672</v>
      </c>
      <c r="H28" s="136">
        <v>-3455</v>
      </c>
      <c r="I28" s="136">
        <v>-6220</v>
      </c>
      <c r="J28" s="136">
        <v>-10280</v>
      </c>
      <c r="K28" s="136">
        <v>-11955</v>
      </c>
      <c r="L28" s="136">
        <v>-2070</v>
      </c>
      <c r="M28" s="136">
        <v>-3848</v>
      </c>
      <c r="N28" s="136">
        <v>-6081</v>
      </c>
      <c r="O28" s="136">
        <v>-7680</v>
      </c>
      <c r="P28" s="136">
        <v>-1560</v>
      </c>
      <c r="Q28" s="136">
        <v>-3007</v>
      </c>
      <c r="R28" s="136">
        <v>-4625</v>
      </c>
      <c r="S28" s="136">
        <v>-6712</v>
      </c>
      <c r="T28" s="136">
        <v>-2230</v>
      </c>
      <c r="U28" s="136">
        <v>-4553</v>
      </c>
      <c r="V28" s="136">
        <v>-6351</v>
      </c>
      <c r="W28" s="136">
        <v>-8425</v>
      </c>
      <c r="X28" s="181">
        <v>-2191</v>
      </c>
      <c r="Y28" s="181">
        <v>-4314</v>
      </c>
      <c r="Z28" s="181">
        <v>-6931</v>
      </c>
      <c r="AA28" s="181">
        <v>-9589</v>
      </c>
      <c r="AB28" s="181">
        <v>-5359</v>
      </c>
      <c r="AC28" s="181">
        <v>-7713</v>
      </c>
      <c r="AD28" s="181">
        <v>-14807</v>
      </c>
      <c r="AE28" s="181">
        <v>-18653</v>
      </c>
      <c r="AF28" s="181">
        <v>-8944</v>
      </c>
      <c r="AG28" s="181">
        <v>-9039</v>
      </c>
      <c r="AH28" s="181">
        <v>-13684</v>
      </c>
      <c r="AI28" s="181">
        <v>-19289</v>
      </c>
      <c r="AJ28" s="181">
        <v>-4753</v>
      </c>
    </row>
    <row r="29" spans="2:36" outlineLevel="1" x14ac:dyDescent="0.2">
      <c r="B29" s="68" t="s">
        <v>14</v>
      </c>
      <c r="C29" s="2" t="s">
        <v>18</v>
      </c>
      <c r="D29" s="104">
        <v>574</v>
      </c>
      <c r="E29" s="104">
        <v>6948</v>
      </c>
      <c r="F29" s="104">
        <v>14759</v>
      </c>
      <c r="G29" s="104">
        <v>33246</v>
      </c>
      <c r="H29" s="94">
        <v>4597</v>
      </c>
      <c r="I29" s="94">
        <v>9404</v>
      </c>
      <c r="J29" s="94">
        <v>14910</v>
      </c>
      <c r="K29" s="94">
        <v>23547</v>
      </c>
      <c r="L29" s="94">
        <v>4651</v>
      </c>
      <c r="M29" s="94">
        <v>16422</v>
      </c>
      <c r="N29" s="94">
        <v>28336</v>
      </c>
      <c r="O29" s="94">
        <v>39482</v>
      </c>
      <c r="P29" s="94">
        <v>383</v>
      </c>
      <c r="Q29" s="136">
        <v>12056</v>
      </c>
      <c r="R29" s="94">
        <v>14815</v>
      </c>
      <c r="S29" s="94">
        <v>47294</v>
      </c>
      <c r="T29" s="94">
        <v>8373</v>
      </c>
      <c r="U29" s="94">
        <v>17460</v>
      </c>
      <c r="V29" s="94">
        <v>51671</v>
      </c>
      <c r="W29" s="94">
        <v>75736</v>
      </c>
      <c r="X29" s="181">
        <v>20445</v>
      </c>
      <c r="Y29" s="181">
        <v>28410</v>
      </c>
      <c r="Z29" s="181">
        <v>42030</v>
      </c>
      <c r="AA29" s="181">
        <v>76049</v>
      </c>
      <c r="AB29" s="181">
        <v>17034</v>
      </c>
      <c r="AC29" s="181">
        <v>70495</v>
      </c>
      <c r="AD29" s="181">
        <v>108493</v>
      </c>
      <c r="AE29" s="181">
        <v>142533</v>
      </c>
      <c r="AF29" s="181">
        <v>4574</v>
      </c>
      <c r="AG29" s="181">
        <v>54208</v>
      </c>
      <c r="AH29" s="181">
        <v>111724</v>
      </c>
      <c r="AI29" s="181">
        <v>170022</v>
      </c>
      <c r="AJ29" s="181">
        <v>-3884</v>
      </c>
    </row>
    <row r="30" spans="2:36" outlineLevel="1" x14ac:dyDescent="0.2">
      <c r="B30" s="68" t="s">
        <v>15</v>
      </c>
      <c r="C30" s="2" t="s">
        <v>18</v>
      </c>
      <c r="D30" s="104">
        <v>1600</v>
      </c>
      <c r="E30" s="104">
        <v>-1905</v>
      </c>
      <c r="F30" s="104">
        <v>-2245</v>
      </c>
      <c r="G30" s="104">
        <v>-4743</v>
      </c>
      <c r="H30" s="94">
        <v>2251</v>
      </c>
      <c r="I30" s="94">
        <v>4599</v>
      </c>
      <c r="J30" s="94">
        <v>4966</v>
      </c>
      <c r="K30" s="94">
        <v>9864</v>
      </c>
      <c r="L30" s="104">
        <v>-2092</v>
      </c>
      <c r="M30" s="94">
        <v>2183</v>
      </c>
      <c r="N30" s="94">
        <v>2606</v>
      </c>
      <c r="O30" s="94">
        <v>604</v>
      </c>
      <c r="P30" s="104">
        <v>-207</v>
      </c>
      <c r="Q30" s="136">
        <v>1968</v>
      </c>
      <c r="R30" s="94">
        <v>2334</v>
      </c>
      <c r="S30" s="94">
        <v>4289</v>
      </c>
      <c r="T30" s="94">
        <v>-729</v>
      </c>
      <c r="U30" s="94">
        <v>5877</v>
      </c>
      <c r="V30" s="94">
        <v>8188</v>
      </c>
      <c r="W30" s="94">
        <v>13340</v>
      </c>
      <c r="X30" s="181">
        <v>3031</v>
      </c>
      <c r="Y30" s="181">
        <v>6942</v>
      </c>
      <c r="Z30" s="185">
        <v>9609</v>
      </c>
      <c r="AA30" s="185">
        <v>22336</v>
      </c>
      <c r="AB30" s="181">
        <v>1184</v>
      </c>
      <c r="AC30" s="181">
        <v>20683</v>
      </c>
      <c r="AD30" s="181">
        <v>22916</v>
      </c>
      <c r="AE30" s="181">
        <v>17030</v>
      </c>
      <c r="AF30" s="181">
        <v>-223</v>
      </c>
      <c r="AG30" s="181">
        <v>10179</v>
      </c>
      <c r="AH30" s="181">
        <v>13320</v>
      </c>
      <c r="AI30" s="181">
        <v>29217</v>
      </c>
      <c r="AJ30" s="181">
        <v>4259</v>
      </c>
    </row>
    <row r="31" spans="2:36" s="9" customFormat="1" outlineLevel="1" x14ac:dyDescent="0.2">
      <c r="B31" s="69" t="s">
        <v>7</v>
      </c>
      <c r="C31" s="18" t="s">
        <v>18</v>
      </c>
      <c r="D31" s="138">
        <f t="shared" ref="D31:AI31" si="3">SUM(D17:D30)</f>
        <v>315716</v>
      </c>
      <c r="E31" s="138">
        <f t="shared" si="3"/>
        <v>328801</v>
      </c>
      <c r="F31" s="138">
        <f t="shared" si="3"/>
        <v>364729</v>
      </c>
      <c r="G31" s="138">
        <f t="shared" si="3"/>
        <v>452381</v>
      </c>
      <c r="H31" s="138">
        <f t="shared" si="3"/>
        <v>69689</v>
      </c>
      <c r="I31" s="138">
        <f t="shared" si="3"/>
        <v>112454</v>
      </c>
      <c r="J31" s="138">
        <f t="shared" si="3"/>
        <v>159278</v>
      </c>
      <c r="K31" s="138">
        <f t="shared" si="3"/>
        <v>247255</v>
      </c>
      <c r="L31" s="138">
        <f t="shared" si="3"/>
        <v>46138</v>
      </c>
      <c r="M31" s="138">
        <f t="shared" si="3"/>
        <v>88690</v>
      </c>
      <c r="N31" s="138">
        <f t="shared" si="3"/>
        <v>203294</v>
      </c>
      <c r="O31" s="138">
        <f t="shared" si="3"/>
        <v>285144</v>
      </c>
      <c r="P31" s="138">
        <f t="shared" si="3"/>
        <v>10374</v>
      </c>
      <c r="Q31" s="138">
        <f t="shared" si="3"/>
        <v>74509</v>
      </c>
      <c r="R31" s="138">
        <f t="shared" si="3"/>
        <v>101778</v>
      </c>
      <c r="S31" s="138">
        <f t="shared" si="3"/>
        <v>281644</v>
      </c>
      <c r="T31" s="138">
        <f t="shared" si="3"/>
        <v>83927</v>
      </c>
      <c r="U31" s="138">
        <f t="shared" si="3"/>
        <v>213740</v>
      </c>
      <c r="V31" s="138">
        <f t="shared" si="3"/>
        <v>381619</v>
      </c>
      <c r="W31" s="138">
        <f t="shared" si="3"/>
        <v>583705</v>
      </c>
      <c r="X31" s="186">
        <f t="shared" si="3"/>
        <v>137415</v>
      </c>
      <c r="Y31" s="186">
        <f t="shared" si="3"/>
        <v>283685</v>
      </c>
      <c r="Z31" s="186">
        <f t="shared" si="3"/>
        <v>382933</v>
      </c>
      <c r="AA31" s="186">
        <f t="shared" si="3"/>
        <v>728342</v>
      </c>
      <c r="AB31" s="186">
        <f t="shared" si="3"/>
        <v>121635</v>
      </c>
      <c r="AC31" s="186">
        <f t="shared" si="3"/>
        <v>654324</v>
      </c>
      <c r="AD31" s="186">
        <f t="shared" si="3"/>
        <v>876402</v>
      </c>
      <c r="AE31" s="186">
        <f t="shared" si="3"/>
        <v>1369112</v>
      </c>
      <c r="AF31" s="186">
        <f t="shared" si="3"/>
        <v>40065</v>
      </c>
      <c r="AG31" s="186">
        <f t="shared" si="3"/>
        <v>322577</v>
      </c>
      <c r="AH31" s="186">
        <f t="shared" si="3"/>
        <v>651617</v>
      </c>
      <c r="AI31" s="186">
        <f t="shared" si="3"/>
        <v>995672</v>
      </c>
      <c r="AJ31" s="186">
        <f>SUM(AJ17:AJ30)</f>
        <v>17306</v>
      </c>
    </row>
    <row r="32" spans="2:36" outlineLevel="1" x14ac:dyDescent="0.2">
      <c r="B32" s="70" t="s">
        <v>16</v>
      </c>
      <c r="C32" s="19" t="s">
        <v>18</v>
      </c>
      <c r="D32" s="139">
        <v>931</v>
      </c>
      <c r="E32" s="139">
        <v>-3513</v>
      </c>
      <c r="F32" s="139">
        <v>-13699</v>
      </c>
      <c r="G32" s="139">
        <v>-28797</v>
      </c>
      <c r="H32" s="139">
        <v>-275</v>
      </c>
      <c r="I32" s="139">
        <v>-8498</v>
      </c>
      <c r="J32" s="139">
        <v>-17296</v>
      </c>
      <c r="K32" s="139">
        <v>-33506</v>
      </c>
      <c r="L32" s="139">
        <v>-16740</v>
      </c>
      <c r="M32" s="139">
        <v>-22731</v>
      </c>
      <c r="N32" s="139">
        <v>-46660</v>
      </c>
      <c r="O32" s="139">
        <v>-63776</v>
      </c>
      <c r="P32" s="139">
        <v>-4331</v>
      </c>
      <c r="Q32" s="139">
        <v>-16423</v>
      </c>
      <c r="R32" s="139">
        <v>-22942</v>
      </c>
      <c r="S32" s="139">
        <v>-61618</v>
      </c>
      <c r="T32" s="139">
        <v>-21819</v>
      </c>
      <c r="U32" s="139">
        <v>-46366</v>
      </c>
      <c r="V32" s="139">
        <v>-75336</v>
      </c>
      <c r="W32" s="139">
        <v>-110742</v>
      </c>
      <c r="X32" s="181">
        <v>-28215</v>
      </c>
      <c r="Y32" s="181">
        <v>-61352</v>
      </c>
      <c r="Z32" s="181">
        <v>-81959</v>
      </c>
      <c r="AA32" s="181">
        <v>-148007</v>
      </c>
      <c r="AB32" s="181">
        <v>-28390</v>
      </c>
      <c r="AC32" s="181">
        <v>-82578</v>
      </c>
      <c r="AD32" s="181">
        <v>-131729</v>
      </c>
      <c r="AE32" s="181">
        <v>-236997</v>
      </c>
      <c r="AF32" s="181">
        <v>-8166</v>
      </c>
      <c r="AG32" s="181">
        <v>-59344</v>
      </c>
      <c r="AH32" s="181">
        <v>-118702</v>
      </c>
      <c r="AI32" s="181">
        <v>-188965</v>
      </c>
      <c r="AJ32" s="181">
        <v>-3391</v>
      </c>
    </row>
    <row r="33" spans="2:36" outlineLevel="1" x14ac:dyDescent="0.2">
      <c r="B33" s="55" t="s">
        <v>113</v>
      </c>
      <c r="C33" s="19" t="s">
        <v>18</v>
      </c>
      <c r="D33" s="140">
        <v>1378</v>
      </c>
      <c r="E33" s="140">
        <v>1103</v>
      </c>
      <c r="F33" s="140">
        <v>1103</v>
      </c>
      <c r="G33" s="140">
        <v>1104</v>
      </c>
      <c r="H33" s="140" t="s">
        <v>100</v>
      </c>
      <c r="I33" s="140" t="s">
        <v>100</v>
      </c>
      <c r="J33" s="140" t="s">
        <v>100</v>
      </c>
      <c r="K33" s="140"/>
      <c r="L33" s="140" t="s">
        <v>100</v>
      </c>
      <c r="M33" s="140" t="s">
        <v>100</v>
      </c>
      <c r="N33" s="140" t="s">
        <v>100</v>
      </c>
      <c r="O33" s="140"/>
      <c r="P33" s="140" t="s">
        <v>100</v>
      </c>
      <c r="Q33" s="140" t="s">
        <v>100</v>
      </c>
      <c r="R33" s="140" t="s">
        <v>100</v>
      </c>
      <c r="S33" s="140" t="s">
        <v>100</v>
      </c>
      <c r="T33" s="140" t="s">
        <v>100</v>
      </c>
      <c r="U33" s="140" t="s">
        <v>100</v>
      </c>
      <c r="V33" s="140"/>
      <c r="W33" s="140"/>
      <c r="X33" s="195"/>
      <c r="Y33" s="181"/>
      <c r="Z33" s="185"/>
      <c r="AA33" s="185"/>
      <c r="AB33" s="181"/>
      <c r="AC33" s="181"/>
      <c r="AD33" s="181"/>
      <c r="AE33" s="181"/>
      <c r="AF33" s="181"/>
      <c r="AG33" s="181"/>
      <c r="AH33" s="181"/>
      <c r="AI33" s="181"/>
      <c r="AJ33" s="181"/>
    </row>
    <row r="34" spans="2:36" s="9" customFormat="1" ht="13.5" outlineLevel="1" thickBot="1" x14ac:dyDescent="0.25">
      <c r="B34" s="71" t="s">
        <v>17</v>
      </c>
      <c r="C34" s="10" t="s">
        <v>18</v>
      </c>
      <c r="D34" s="141">
        <f t="shared" ref="D34:S34" si="4">SUM(D31:D33)</f>
        <v>318025</v>
      </c>
      <c r="E34" s="141">
        <f t="shared" si="4"/>
        <v>326391</v>
      </c>
      <c r="F34" s="141">
        <f t="shared" si="4"/>
        <v>352133</v>
      </c>
      <c r="G34" s="141">
        <f t="shared" si="4"/>
        <v>424688</v>
      </c>
      <c r="H34" s="141">
        <f t="shared" si="4"/>
        <v>69414</v>
      </c>
      <c r="I34" s="141">
        <f t="shared" si="4"/>
        <v>103956</v>
      </c>
      <c r="J34" s="141">
        <f t="shared" si="4"/>
        <v>141982</v>
      </c>
      <c r="K34" s="141">
        <f t="shared" si="4"/>
        <v>213749</v>
      </c>
      <c r="L34" s="141">
        <f t="shared" si="4"/>
        <v>29398</v>
      </c>
      <c r="M34" s="141">
        <f t="shared" si="4"/>
        <v>65959</v>
      </c>
      <c r="N34" s="141">
        <f t="shared" si="4"/>
        <v>156634</v>
      </c>
      <c r="O34" s="141">
        <f t="shared" si="4"/>
        <v>221368</v>
      </c>
      <c r="P34" s="141">
        <f t="shared" si="4"/>
        <v>6043</v>
      </c>
      <c r="Q34" s="141">
        <f t="shared" si="4"/>
        <v>58086</v>
      </c>
      <c r="R34" s="141">
        <f t="shared" si="4"/>
        <v>78836</v>
      </c>
      <c r="S34" s="141">
        <f t="shared" si="4"/>
        <v>220026</v>
      </c>
      <c r="T34" s="141">
        <f t="shared" ref="T34:Z34" si="5">SUM(T31:T33)</f>
        <v>62108</v>
      </c>
      <c r="U34" s="141">
        <f t="shared" si="5"/>
        <v>167374</v>
      </c>
      <c r="V34" s="141">
        <f t="shared" si="5"/>
        <v>306283</v>
      </c>
      <c r="W34" s="141">
        <f t="shared" si="5"/>
        <v>472963</v>
      </c>
      <c r="X34" s="196">
        <f t="shared" si="5"/>
        <v>109200</v>
      </c>
      <c r="Y34" s="196">
        <f t="shared" si="5"/>
        <v>222333</v>
      </c>
      <c r="Z34" s="196">
        <f t="shared" si="5"/>
        <v>300974</v>
      </c>
      <c r="AA34" s="196">
        <f t="shared" ref="AA34:AI34" si="6">SUM(AA31:AA33)</f>
        <v>580335</v>
      </c>
      <c r="AB34" s="196">
        <f t="shared" si="6"/>
        <v>93245</v>
      </c>
      <c r="AC34" s="196">
        <f t="shared" si="6"/>
        <v>571746</v>
      </c>
      <c r="AD34" s="196">
        <f t="shared" si="6"/>
        <v>744673</v>
      </c>
      <c r="AE34" s="196">
        <f t="shared" si="6"/>
        <v>1132115</v>
      </c>
      <c r="AF34" s="196">
        <f t="shared" si="6"/>
        <v>31899</v>
      </c>
      <c r="AG34" s="196">
        <f t="shared" si="6"/>
        <v>263233</v>
      </c>
      <c r="AH34" s="196">
        <f t="shared" si="6"/>
        <v>532915</v>
      </c>
      <c r="AI34" s="196">
        <f t="shared" si="6"/>
        <v>806707</v>
      </c>
      <c r="AJ34" s="196">
        <f t="shared" ref="AJ34" si="7">SUM(AJ31:AJ33)</f>
        <v>13915</v>
      </c>
    </row>
    <row r="35" spans="2:36" ht="13.5" outlineLevel="1" thickTop="1" x14ac:dyDescent="0.2">
      <c r="B35" s="57" t="s">
        <v>335</v>
      </c>
      <c r="C35" s="2" t="s">
        <v>18</v>
      </c>
      <c r="D35" s="139">
        <v>-21278</v>
      </c>
      <c r="E35" s="139">
        <v>-22125</v>
      </c>
      <c r="F35" s="139">
        <v>-21258</v>
      </c>
      <c r="G35" s="139">
        <v>-6688</v>
      </c>
      <c r="H35" s="139">
        <v>770</v>
      </c>
      <c r="I35" s="139">
        <v>1200</v>
      </c>
      <c r="J35" s="139">
        <v>1123</v>
      </c>
      <c r="K35" s="139">
        <v>1573</v>
      </c>
      <c r="L35" s="139">
        <v>118</v>
      </c>
      <c r="M35" s="139">
        <v>-118</v>
      </c>
      <c r="N35" s="139">
        <v>76</v>
      </c>
      <c r="O35" s="139">
        <v>42</v>
      </c>
      <c r="P35" s="139">
        <v>31</v>
      </c>
      <c r="Q35" s="139">
        <v>100</v>
      </c>
      <c r="R35" s="139">
        <v>85</v>
      </c>
      <c r="S35" s="139">
        <v>268</v>
      </c>
      <c r="T35" s="139">
        <v>860</v>
      </c>
      <c r="U35" s="139">
        <v>441</v>
      </c>
      <c r="V35" s="139">
        <v>468</v>
      </c>
      <c r="W35" s="139">
        <v>-510</v>
      </c>
      <c r="X35" s="181">
        <v>-473</v>
      </c>
      <c r="Y35" s="181">
        <v>-421</v>
      </c>
      <c r="Z35" s="185">
        <v>96</v>
      </c>
      <c r="AA35" s="181">
        <v>-357</v>
      </c>
      <c r="AB35" s="181">
        <v>-264</v>
      </c>
      <c r="AC35" s="181">
        <v>1486</v>
      </c>
      <c r="AD35" s="181">
        <v>952</v>
      </c>
      <c r="AE35" s="181">
        <v>853</v>
      </c>
      <c r="AF35" s="181">
        <v>-374</v>
      </c>
      <c r="AG35" s="181">
        <v>49</v>
      </c>
      <c r="AH35" s="181">
        <v>876</v>
      </c>
      <c r="AI35" s="181">
        <v>-1106</v>
      </c>
      <c r="AJ35" s="181">
        <v>-755</v>
      </c>
    </row>
    <row r="36" spans="2:36" s="9" customFormat="1" outlineLevel="1" x14ac:dyDescent="0.2">
      <c r="B36" s="72" t="s">
        <v>19</v>
      </c>
      <c r="C36" s="17" t="s">
        <v>18</v>
      </c>
      <c r="D36" s="142">
        <f t="shared" ref="D36:S36" si="8">SUM(D34:D35)</f>
        <v>296747</v>
      </c>
      <c r="E36" s="142">
        <f t="shared" si="8"/>
        <v>304266</v>
      </c>
      <c r="F36" s="142">
        <f t="shared" si="8"/>
        <v>330875</v>
      </c>
      <c r="G36" s="142">
        <f t="shared" si="8"/>
        <v>418000</v>
      </c>
      <c r="H36" s="142">
        <f t="shared" si="8"/>
        <v>70184</v>
      </c>
      <c r="I36" s="142">
        <f t="shared" si="8"/>
        <v>105156</v>
      </c>
      <c r="J36" s="142">
        <f t="shared" si="8"/>
        <v>143105</v>
      </c>
      <c r="K36" s="142">
        <f t="shared" si="8"/>
        <v>215322</v>
      </c>
      <c r="L36" s="142">
        <f t="shared" si="8"/>
        <v>29516</v>
      </c>
      <c r="M36" s="142">
        <f t="shared" si="8"/>
        <v>65841</v>
      </c>
      <c r="N36" s="142">
        <f t="shared" si="8"/>
        <v>156710</v>
      </c>
      <c r="O36" s="142">
        <f t="shared" si="8"/>
        <v>221410</v>
      </c>
      <c r="P36" s="142">
        <f t="shared" si="8"/>
        <v>6074</v>
      </c>
      <c r="Q36" s="142">
        <f t="shared" si="8"/>
        <v>58186</v>
      </c>
      <c r="R36" s="142">
        <f t="shared" si="8"/>
        <v>78921</v>
      </c>
      <c r="S36" s="142">
        <f t="shared" si="8"/>
        <v>220294</v>
      </c>
      <c r="T36" s="142">
        <f>SUM(T34:T35)</f>
        <v>62968</v>
      </c>
      <c r="U36" s="142">
        <f>SUM(U34:U35)</f>
        <v>167815</v>
      </c>
      <c r="V36" s="142">
        <v>306751</v>
      </c>
      <c r="W36" s="142">
        <f>SUM(W34:W35)</f>
        <v>472453</v>
      </c>
      <c r="X36" s="186">
        <f>SUM(X34:X35)</f>
        <v>108727</v>
      </c>
      <c r="Y36" s="186">
        <f>SUM(Y34:Y35)</f>
        <v>221912</v>
      </c>
      <c r="Z36" s="186">
        <f t="shared" ref="Z36:AI36" si="9">SUM(Z34:Z35)</f>
        <v>301070</v>
      </c>
      <c r="AA36" s="186">
        <f t="shared" si="9"/>
        <v>579978</v>
      </c>
      <c r="AB36" s="186">
        <f t="shared" si="9"/>
        <v>92981</v>
      </c>
      <c r="AC36" s="186">
        <f t="shared" si="9"/>
        <v>573232</v>
      </c>
      <c r="AD36" s="186">
        <f t="shared" si="9"/>
        <v>745625</v>
      </c>
      <c r="AE36" s="186">
        <f t="shared" si="9"/>
        <v>1132968</v>
      </c>
      <c r="AF36" s="186">
        <f t="shared" si="9"/>
        <v>31525</v>
      </c>
      <c r="AG36" s="186">
        <f t="shared" si="9"/>
        <v>263282</v>
      </c>
      <c r="AH36" s="186">
        <f>SUM(AH34:AH35)</f>
        <v>533791</v>
      </c>
      <c r="AI36" s="186">
        <f t="shared" si="9"/>
        <v>805601</v>
      </c>
      <c r="AJ36" s="186">
        <f t="shared" ref="AJ36" si="10">SUM(AJ34:AJ35)</f>
        <v>13160</v>
      </c>
    </row>
    <row r="37" spans="2:36" outlineLevel="1" x14ac:dyDescent="0.2">
      <c r="B37" s="68"/>
      <c r="Q37" s="143"/>
      <c r="AB37" s="136"/>
      <c r="AC37" s="136"/>
      <c r="AD37" s="136"/>
      <c r="AE37" s="136"/>
      <c r="AF37" s="136"/>
      <c r="AG37" s="136"/>
      <c r="AH37" s="136"/>
      <c r="AI37" s="136"/>
      <c r="AJ37" s="136"/>
    </row>
    <row r="38" spans="2:36" outlineLevel="1" x14ac:dyDescent="0.2">
      <c r="B38" s="73" t="s">
        <v>250</v>
      </c>
      <c r="C38" s="9" t="s">
        <v>254</v>
      </c>
      <c r="D38" s="9"/>
      <c r="E38" s="144">
        <v>1255.4000000000001</v>
      </c>
      <c r="F38" s="145"/>
      <c r="G38" s="144">
        <v>1610.5</v>
      </c>
      <c r="H38" s="145"/>
      <c r="I38" s="145">
        <v>358</v>
      </c>
      <c r="J38" s="145"/>
      <c r="K38" s="145">
        <v>733</v>
      </c>
      <c r="L38" s="145"/>
      <c r="M38" s="145">
        <v>225</v>
      </c>
      <c r="N38" s="145"/>
      <c r="O38" s="145">
        <v>708</v>
      </c>
      <c r="P38" s="145"/>
      <c r="Q38" s="145">
        <v>184</v>
      </c>
      <c r="R38" s="145"/>
      <c r="S38" s="9">
        <v>543</v>
      </c>
      <c r="T38" s="9"/>
      <c r="U38" s="9">
        <v>467</v>
      </c>
      <c r="V38" s="9"/>
      <c r="W38" s="168">
        <v>1342</v>
      </c>
      <c r="X38" s="168"/>
      <c r="Y38" s="168">
        <v>695</v>
      </c>
      <c r="AA38" s="168">
        <v>1616</v>
      </c>
      <c r="AB38" s="136"/>
      <c r="AC38" s="168">
        <v>1857</v>
      </c>
      <c r="AD38" s="168"/>
      <c r="AE38" s="168">
        <v>3363</v>
      </c>
      <c r="AF38" s="168"/>
      <c r="AG38" s="168">
        <v>779</v>
      </c>
      <c r="AH38" s="168"/>
      <c r="AI38" s="222">
        <v>2200</v>
      </c>
      <c r="AJ38" s="168"/>
    </row>
    <row r="39" spans="2:36" s="68" customFormat="1" outlineLevel="1" x14ac:dyDescent="0.2">
      <c r="B39" s="73" t="s">
        <v>169</v>
      </c>
      <c r="C39" s="73" t="s">
        <v>18</v>
      </c>
      <c r="D39" s="73"/>
      <c r="E39" s="174">
        <v>38800</v>
      </c>
      <c r="F39" s="174"/>
      <c r="G39" s="174">
        <v>141700</v>
      </c>
      <c r="H39" s="174"/>
      <c r="I39" s="174">
        <v>73000</v>
      </c>
      <c r="J39" s="174"/>
      <c r="K39" s="174">
        <v>248719</v>
      </c>
      <c r="L39" s="174"/>
      <c r="M39" s="174">
        <v>81012</v>
      </c>
      <c r="N39" s="174"/>
      <c r="O39" s="174">
        <v>325734</v>
      </c>
      <c r="P39" s="174"/>
      <c r="Q39" s="174">
        <v>99395</v>
      </c>
      <c r="R39" s="174"/>
      <c r="S39" s="175">
        <v>350294</v>
      </c>
      <c r="T39" s="175"/>
      <c r="U39" s="175">
        <v>224457</v>
      </c>
      <c r="V39" s="175"/>
      <c r="W39" s="168">
        <v>630898</v>
      </c>
      <c r="X39" s="168"/>
      <c r="Y39" s="168">
        <v>737689</v>
      </c>
      <c r="AA39" s="168">
        <v>828623</v>
      </c>
      <c r="AB39" s="136"/>
      <c r="AC39" s="168">
        <v>377013</v>
      </c>
      <c r="AD39" s="168"/>
      <c r="AE39" s="168">
        <v>1096711</v>
      </c>
      <c r="AF39" s="168"/>
      <c r="AG39" s="168">
        <v>363111</v>
      </c>
      <c r="AH39" s="168"/>
      <c r="AI39" s="222">
        <v>1133489</v>
      </c>
      <c r="AJ39" s="168"/>
    </row>
    <row r="40" spans="2:36" s="68" customFormat="1" outlineLevel="1" x14ac:dyDescent="0.2">
      <c r="B40" s="73" t="s">
        <v>21</v>
      </c>
      <c r="C40" s="73" t="s">
        <v>18</v>
      </c>
      <c r="D40" s="73"/>
      <c r="E40" s="174">
        <v>16000</v>
      </c>
      <c r="F40" s="174"/>
      <c r="G40" s="174">
        <v>77500</v>
      </c>
      <c r="H40" s="174"/>
      <c r="I40" s="174">
        <v>27100</v>
      </c>
      <c r="J40" s="174"/>
      <c r="K40" s="174">
        <v>151920</v>
      </c>
      <c r="L40" s="174"/>
      <c r="M40" s="174">
        <v>47495</v>
      </c>
      <c r="N40" s="174"/>
      <c r="O40" s="174">
        <v>223899</v>
      </c>
      <c r="P40" s="174"/>
      <c r="Q40" s="174">
        <v>61316</v>
      </c>
      <c r="R40" s="174"/>
      <c r="S40" s="175">
        <v>238233</v>
      </c>
      <c r="T40" s="175"/>
      <c r="U40" s="175">
        <v>172818</v>
      </c>
      <c r="V40" s="175"/>
      <c r="W40" s="168">
        <f>W17+W18+W19</f>
        <v>455962</v>
      </c>
      <c r="X40" s="168"/>
      <c r="Y40" s="168">
        <v>252497</v>
      </c>
      <c r="AA40" s="168">
        <v>680812</v>
      </c>
      <c r="AB40" s="136"/>
      <c r="AC40" s="168">
        <v>226723</v>
      </c>
      <c r="AD40" s="168"/>
      <c r="AE40" s="168">
        <v>806849</v>
      </c>
      <c r="AF40" s="168"/>
      <c r="AG40" s="168">
        <v>253665</v>
      </c>
      <c r="AH40" s="168"/>
      <c r="AI40" s="222">
        <v>778978</v>
      </c>
      <c r="AJ40" s="168"/>
    </row>
    <row r="41" spans="2:36" s="68" customFormat="1" outlineLevel="1" x14ac:dyDescent="0.2">
      <c r="B41" s="73" t="s">
        <v>22</v>
      </c>
      <c r="C41" s="73" t="s">
        <v>18</v>
      </c>
      <c r="D41" s="73"/>
      <c r="E41" s="174">
        <v>12900</v>
      </c>
      <c r="F41" s="174"/>
      <c r="G41" s="174">
        <v>77200</v>
      </c>
      <c r="H41" s="174"/>
      <c r="I41" s="174">
        <v>32300</v>
      </c>
      <c r="J41" s="174"/>
      <c r="K41" s="174">
        <v>142105</v>
      </c>
      <c r="L41" s="174"/>
      <c r="M41" s="174">
        <v>43896</v>
      </c>
      <c r="N41" s="174"/>
      <c r="O41" s="174">
        <v>199305</v>
      </c>
      <c r="P41" s="174"/>
      <c r="Q41" s="174">
        <v>58086</v>
      </c>
      <c r="R41" s="174"/>
      <c r="S41" s="175">
        <v>220026</v>
      </c>
      <c r="T41" s="175"/>
      <c r="U41" s="175">
        <v>167374</v>
      </c>
      <c r="V41" s="175"/>
      <c r="W41" s="168">
        <v>465292</v>
      </c>
      <c r="X41" s="168"/>
      <c r="Y41" s="168">
        <v>222333</v>
      </c>
      <c r="AA41" s="168">
        <v>580335</v>
      </c>
      <c r="AB41" s="136"/>
      <c r="AC41" s="168">
        <v>276027</v>
      </c>
      <c r="AD41" s="168"/>
      <c r="AE41" s="168">
        <v>836396</v>
      </c>
      <c r="AF41" s="168"/>
      <c r="AG41" s="168">
        <v>263233</v>
      </c>
      <c r="AH41" s="168"/>
      <c r="AI41" s="222">
        <v>806707</v>
      </c>
      <c r="AJ41" s="168"/>
    </row>
    <row r="42" spans="2:36" x14ac:dyDescent="0.2">
      <c r="AB42" s="136"/>
      <c r="AC42" s="136"/>
      <c r="AD42" s="136"/>
      <c r="AE42" s="136"/>
      <c r="AF42" s="136"/>
      <c r="AG42" s="136"/>
      <c r="AH42" s="136"/>
      <c r="AI42" s="136"/>
      <c r="AJ42" s="136"/>
    </row>
    <row r="43" spans="2:36" x14ac:dyDescent="0.2">
      <c r="B43" s="11" t="s">
        <v>74</v>
      </c>
      <c r="C43" s="12"/>
      <c r="D43" s="4"/>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2:36" x14ac:dyDescent="0.2">
      <c r="B44" s="2" t="s">
        <v>277</v>
      </c>
      <c r="C44" s="2" t="s">
        <v>18</v>
      </c>
      <c r="D44" s="9"/>
      <c r="E44" s="9"/>
      <c r="F44" s="9"/>
      <c r="G44" s="9"/>
      <c r="H44" s="9"/>
      <c r="I44" s="9"/>
      <c r="J44" s="9"/>
      <c r="K44" s="9"/>
      <c r="L44" s="9"/>
      <c r="M44" s="9"/>
      <c r="N44" s="9"/>
      <c r="O44" s="9"/>
      <c r="P44" s="9"/>
      <c r="Q44" s="54">
        <v>202371</v>
      </c>
      <c r="R44" s="54">
        <v>281049</v>
      </c>
      <c r="S44" s="9"/>
      <c r="T44" s="9"/>
      <c r="U44" s="94">
        <v>431056</v>
      </c>
      <c r="V44" s="94">
        <v>676920</v>
      </c>
      <c r="W44" s="94">
        <v>851427</v>
      </c>
      <c r="X44" s="184">
        <v>339604</v>
      </c>
      <c r="Y44" s="184">
        <v>526438</v>
      </c>
      <c r="Z44" s="184">
        <v>694205</v>
      </c>
      <c r="AA44" s="184">
        <v>1180722</v>
      </c>
      <c r="AB44" s="184">
        <v>201434</v>
      </c>
      <c r="AC44" s="184">
        <v>600985</v>
      </c>
      <c r="AD44" s="184">
        <v>927344</v>
      </c>
      <c r="AE44" s="184">
        <v>1412466</v>
      </c>
      <c r="AF44" s="184">
        <v>185783</v>
      </c>
      <c r="AG44" s="184">
        <v>594198</v>
      </c>
      <c r="AH44" s="184">
        <v>1088128</v>
      </c>
      <c r="AI44" s="184">
        <v>1637508</v>
      </c>
      <c r="AJ44" s="54">
        <v>121706</v>
      </c>
    </row>
    <row r="45" spans="2:36" ht="15" customHeight="1" outlineLevel="1" x14ac:dyDescent="0.2">
      <c r="B45" s="2" t="s">
        <v>278</v>
      </c>
      <c r="C45" s="2" t="s">
        <v>18</v>
      </c>
      <c r="D45" s="94">
        <v>44379</v>
      </c>
      <c r="E45" s="94">
        <v>112889</v>
      </c>
      <c r="F45" s="94">
        <v>236365</v>
      </c>
      <c r="G45" s="94">
        <v>368325</v>
      </c>
      <c r="H45" s="94">
        <v>43409</v>
      </c>
      <c r="I45" s="94">
        <v>145710</v>
      </c>
      <c r="J45" s="94">
        <v>218093</v>
      </c>
      <c r="K45" s="94">
        <v>438518</v>
      </c>
      <c r="L45" s="94">
        <v>48899</v>
      </c>
      <c r="M45" s="94">
        <v>127824</v>
      </c>
      <c r="N45" s="94">
        <v>316259</v>
      </c>
      <c r="O45" s="94">
        <v>529196</v>
      </c>
      <c r="P45" s="94">
        <v>42277</v>
      </c>
      <c r="Q45" s="94">
        <v>2937</v>
      </c>
      <c r="R45" s="94">
        <v>5092</v>
      </c>
      <c r="S45" s="184">
        <v>625048</v>
      </c>
      <c r="T45" s="94">
        <v>129815</v>
      </c>
      <c r="U45" s="94">
        <v>22437</v>
      </c>
      <c r="V45" s="94">
        <v>37371</v>
      </c>
      <c r="W45" s="94">
        <v>57806</v>
      </c>
      <c r="X45" s="184">
        <v>21344</v>
      </c>
      <c r="Y45" s="184">
        <v>46453</v>
      </c>
      <c r="Z45" s="184">
        <v>57238</v>
      </c>
      <c r="AA45" s="184">
        <v>56831</v>
      </c>
      <c r="AB45" s="184"/>
      <c r="AC45" s="94">
        <f>2726</f>
        <v>2726</v>
      </c>
      <c r="AD45" s="184">
        <v>3550</v>
      </c>
      <c r="AE45" s="184">
        <f>3549</f>
        <v>3549</v>
      </c>
      <c r="AF45" s="184"/>
      <c r="AG45" s="184"/>
      <c r="AH45" s="184"/>
      <c r="AI45" s="184"/>
      <c r="AJ45" s="54"/>
    </row>
    <row r="46" spans="2:36" ht="15" customHeight="1" outlineLevel="1" x14ac:dyDescent="0.2">
      <c r="B46" s="2" t="s">
        <v>355</v>
      </c>
      <c r="C46" s="2" t="s">
        <v>18</v>
      </c>
      <c r="D46" s="94"/>
      <c r="E46" s="94"/>
      <c r="F46" s="94"/>
      <c r="G46" s="94"/>
      <c r="H46" s="94"/>
      <c r="I46" s="94"/>
      <c r="J46" s="94"/>
      <c r="K46" s="94"/>
      <c r="L46" s="94"/>
      <c r="M46" s="94"/>
      <c r="N46" s="94"/>
      <c r="O46" s="94"/>
      <c r="P46" s="94"/>
      <c r="Q46" s="94"/>
      <c r="R46" s="94"/>
      <c r="S46" s="94"/>
      <c r="T46" s="94"/>
      <c r="U46" s="94"/>
      <c r="V46" s="94"/>
      <c r="W46" s="94"/>
      <c r="X46" s="184"/>
      <c r="Y46" s="184"/>
      <c r="Z46" s="184">
        <v>44776</v>
      </c>
      <c r="AA46" s="184">
        <v>91218</v>
      </c>
      <c r="AB46" s="184">
        <v>47124</v>
      </c>
      <c r="AC46" s="94">
        <v>47124</v>
      </c>
      <c r="AD46" s="184">
        <v>120359</v>
      </c>
      <c r="AE46" s="184">
        <v>248820</v>
      </c>
      <c r="AF46" s="184"/>
      <c r="AG46" s="184"/>
      <c r="AH46" s="184"/>
      <c r="AI46" s="184"/>
      <c r="AJ46" s="54"/>
    </row>
    <row r="47" spans="2:36" ht="15" customHeight="1" outlineLevel="1" x14ac:dyDescent="0.2">
      <c r="B47" s="2" t="s">
        <v>356</v>
      </c>
      <c r="C47" s="2" t="s">
        <v>18</v>
      </c>
      <c r="D47" s="94"/>
      <c r="E47" s="94"/>
      <c r="F47" s="94"/>
      <c r="G47" s="94"/>
      <c r="H47" s="94"/>
      <c r="I47" s="94"/>
      <c r="J47" s="94"/>
      <c r="K47" s="94"/>
      <c r="L47" s="94"/>
      <c r="M47" s="94"/>
      <c r="N47" s="94"/>
      <c r="O47" s="94"/>
      <c r="P47" s="94"/>
      <c r="Q47" s="94"/>
      <c r="R47" s="94"/>
      <c r="S47" s="94"/>
      <c r="T47" s="94"/>
      <c r="U47" s="94"/>
      <c r="V47" s="94"/>
      <c r="W47" s="94"/>
      <c r="X47" s="184"/>
      <c r="Y47" s="184"/>
      <c r="Z47" s="184"/>
      <c r="AA47" s="184">
        <v>11181</v>
      </c>
      <c r="AB47" s="184">
        <v>3830</v>
      </c>
      <c r="AC47" s="94">
        <v>6187</v>
      </c>
      <c r="AD47" s="184">
        <v>7007</v>
      </c>
      <c r="AE47" s="184">
        <v>15186</v>
      </c>
      <c r="AF47" s="184">
        <v>2473</v>
      </c>
      <c r="AG47" s="184">
        <v>4462</v>
      </c>
      <c r="AH47" s="184">
        <v>10393</v>
      </c>
      <c r="AI47" s="184">
        <v>15627</v>
      </c>
      <c r="AJ47" s="54">
        <v>3111</v>
      </c>
    </row>
    <row r="48" spans="2:36" outlineLevel="1" x14ac:dyDescent="0.2">
      <c r="B48" s="2" t="s">
        <v>191</v>
      </c>
      <c r="C48" s="2" t="s">
        <v>18</v>
      </c>
      <c r="D48" s="94">
        <v>3228</v>
      </c>
      <c r="E48" s="94">
        <v>7414</v>
      </c>
      <c r="F48" s="94">
        <v>11921</v>
      </c>
      <c r="G48" s="94">
        <v>17364</v>
      </c>
      <c r="H48" s="94">
        <v>3489</v>
      </c>
      <c r="I48" s="94">
        <v>8306</v>
      </c>
      <c r="J48" s="94">
        <v>13336</v>
      </c>
      <c r="K48" s="94">
        <v>19717</v>
      </c>
      <c r="L48" s="94">
        <v>4267</v>
      </c>
      <c r="M48" s="94">
        <v>9045</v>
      </c>
      <c r="N48" s="94">
        <v>14968</v>
      </c>
      <c r="O48" s="94">
        <v>21866</v>
      </c>
      <c r="P48" s="94">
        <v>4816</v>
      </c>
      <c r="Q48" s="94">
        <v>11272</v>
      </c>
      <c r="R48" s="94">
        <v>17227</v>
      </c>
      <c r="S48" s="94">
        <v>26119</v>
      </c>
      <c r="T48" s="94">
        <v>5916</v>
      </c>
      <c r="U48" s="94">
        <v>12515</v>
      </c>
      <c r="V48" s="94">
        <v>21672</v>
      </c>
      <c r="W48" s="94">
        <v>31986</v>
      </c>
      <c r="X48" s="184">
        <v>5086</v>
      </c>
      <c r="Y48" s="184">
        <v>14983</v>
      </c>
      <c r="Z48" s="184">
        <v>21984</v>
      </c>
      <c r="AA48" s="184">
        <v>30626</v>
      </c>
      <c r="AB48" s="184">
        <v>4794</v>
      </c>
      <c r="AC48" s="94">
        <v>11582</v>
      </c>
      <c r="AD48" s="184">
        <v>19023</v>
      </c>
      <c r="AE48" s="184">
        <v>30666</v>
      </c>
      <c r="AF48" s="184">
        <v>7540</v>
      </c>
      <c r="AG48" s="184">
        <v>18054</v>
      </c>
      <c r="AH48" s="184">
        <v>26378</v>
      </c>
      <c r="AI48" s="184">
        <v>36769</v>
      </c>
      <c r="AJ48" s="54">
        <v>6744</v>
      </c>
    </row>
    <row r="49" spans="2:36" outlineLevel="1" x14ac:dyDescent="0.2">
      <c r="B49" s="2" t="s">
        <v>177</v>
      </c>
      <c r="C49" s="2" t="s">
        <v>18</v>
      </c>
      <c r="D49" s="94">
        <v>3565</v>
      </c>
      <c r="E49" s="94">
        <v>7353</v>
      </c>
      <c r="F49" s="94">
        <v>11076</v>
      </c>
      <c r="G49" s="94">
        <v>9424</v>
      </c>
      <c r="H49" s="94">
        <v>1743</v>
      </c>
      <c r="I49" s="94">
        <v>3844</v>
      </c>
      <c r="J49" s="94">
        <v>5734</v>
      </c>
      <c r="K49" s="94">
        <v>9543</v>
      </c>
      <c r="L49" s="94">
        <v>2167</v>
      </c>
      <c r="M49" s="94">
        <v>5776</v>
      </c>
      <c r="N49" s="94">
        <v>9316</v>
      </c>
      <c r="O49" s="94">
        <v>12205</v>
      </c>
      <c r="P49" s="94">
        <v>2694</v>
      </c>
      <c r="Q49" s="94">
        <v>6499</v>
      </c>
      <c r="R49" s="94">
        <v>10636</v>
      </c>
      <c r="S49" s="94">
        <v>15777</v>
      </c>
      <c r="T49" s="94">
        <v>3208</v>
      </c>
      <c r="U49" s="94">
        <v>9093</v>
      </c>
      <c r="V49" s="94">
        <v>15061</v>
      </c>
      <c r="W49" s="94">
        <v>23171</v>
      </c>
      <c r="X49" s="184">
        <v>5339</v>
      </c>
      <c r="Y49" s="184">
        <v>14429</v>
      </c>
      <c r="Z49" s="184">
        <v>20327</v>
      </c>
      <c r="AA49" s="184">
        <v>22609</v>
      </c>
      <c r="AB49" s="184">
        <v>5109</v>
      </c>
      <c r="AC49" s="94">
        <v>6979</v>
      </c>
      <c r="AD49" s="184">
        <v>16172</v>
      </c>
      <c r="AE49" s="184">
        <v>19670</v>
      </c>
      <c r="AF49" s="184">
        <v>1355</v>
      </c>
      <c r="AG49" s="184">
        <v>6422</v>
      </c>
      <c r="AH49" s="184">
        <v>12396</v>
      </c>
      <c r="AI49" s="184">
        <v>17555</v>
      </c>
      <c r="AJ49" s="54">
        <v>4440</v>
      </c>
    </row>
    <row r="50" spans="2:36" outlineLevel="1" x14ac:dyDescent="0.2">
      <c r="B50" s="2" t="s">
        <v>178</v>
      </c>
      <c r="C50" s="2" t="s">
        <v>18</v>
      </c>
      <c r="D50" s="94">
        <v>2108</v>
      </c>
      <c r="E50" s="94">
        <v>8258</v>
      </c>
      <c r="F50" s="94">
        <v>12582</v>
      </c>
      <c r="G50" s="94">
        <v>14333</v>
      </c>
      <c r="H50" s="94">
        <v>4338</v>
      </c>
      <c r="I50" s="94">
        <v>9895</v>
      </c>
      <c r="J50" s="94">
        <v>12850</v>
      </c>
      <c r="K50" s="94">
        <v>10470</v>
      </c>
      <c r="L50" s="94">
        <v>2582</v>
      </c>
      <c r="M50" s="94">
        <v>4393</v>
      </c>
      <c r="N50" s="94">
        <v>6283</v>
      </c>
      <c r="O50" s="94">
        <v>5321</v>
      </c>
      <c r="P50" s="94">
        <v>2369</v>
      </c>
      <c r="Q50" s="94">
        <v>4563</v>
      </c>
      <c r="R50" s="94">
        <v>6467</v>
      </c>
      <c r="S50" s="94">
        <v>5860</v>
      </c>
      <c r="T50" s="94">
        <v>2959</v>
      </c>
      <c r="U50" s="94">
        <v>10023</v>
      </c>
      <c r="V50" s="94">
        <v>14951</v>
      </c>
      <c r="W50" s="199">
        <f>15164+2815</f>
        <v>17979</v>
      </c>
      <c r="X50" s="200">
        <v>5573</v>
      </c>
      <c r="Y50" s="200">
        <v>7514</v>
      </c>
      <c r="Z50" s="200">
        <v>11574</v>
      </c>
      <c r="AA50" s="200">
        <v>14607</v>
      </c>
      <c r="AB50" s="184">
        <v>1453</v>
      </c>
      <c r="AC50" s="94">
        <v>12587</v>
      </c>
      <c r="AD50" s="184">
        <v>25751</v>
      </c>
      <c r="AE50" s="184">
        <v>53566</v>
      </c>
      <c r="AF50" s="94">
        <v>10521</v>
      </c>
      <c r="AG50" s="184">
        <v>21801</v>
      </c>
      <c r="AH50" s="184">
        <v>31651</v>
      </c>
      <c r="AI50" s="184">
        <v>57494</v>
      </c>
      <c r="AJ50" s="54">
        <v>10144</v>
      </c>
    </row>
    <row r="51" spans="2:36" outlineLevel="1" x14ac:dyDescent="0.2">
      <c r="B51" s="2" t="s">
        <v>179</v>
      </c>
      <c r="C51" s="2" t="s">
        <v>18</v>
      </c>
      <c r="D51" s="94">
        <v>1549</v>
      </c>
      <c r="E51" s="94">
        <v>3630</v>
      </c>
      <c r="F51" s="94">
        <v>5603</v>
      </c>
      <c r="G51" s="94">
        <v>8342</v>
      </c>
      <c r="H51" s="94">
        <v>1579</v>
      </c>
      <c r="I51" s="94">
        <v>3255</v>
      </c>
      <c r="J51" s="94">
        <v>5236</v>
      </c>
      <c r="K51" s="94">
        <v>8048</v>
      </c>
      <c r="L51" s="94">
        <v>1613</v>
      </c>
      <c r="M51" s="94">
        <v>2920</v>
      </c>
      <c r="N51" s="94">
        <v>4619</v>
      </c>
      <c r="O51" s="94">
        <v>6911</v>
      </c>
      <c r="P51" s="94">
        <v>1670</v>
      </c>
      <c r="Q51" s="94">
        <v>3139</v>
      </c>
      <c r="R51" s="94">
        <v>4742</v>
      </c>
      <c r="S51" s="94">
        <v>6459</v>
      </c>
      <c r="T51" s="94">
        <v>1509</v>
      </c>
      <c r="U51" s="94">
        <v>4466</v>
      </c>
      <c r="V51" s="94">
        <v>7890</v>
      </c>
      <c r="W51" s="94">
        <v>11147</v>
      </c>
      <c r="X51" s="184">
        <v>1789</v>
      </c>
      <c r="Y51" s="184">
        <v>4796</v>
      </c>
      <c r="Z51" s="184">
        <v>7694</v>
      </c>
      <c r="AA51" s="184">
        <v>10076</v>
      </c>
      <c r="AB51" s="184">
        <v>1883</v>
      </c>
      <c r="AC51" s="94">
        <v>5324</v>
      </c>
      <c r="AD51" s="94">
        <v>7634</v>
      </c>
      <c r="AE51" s="184">
        <f>11473</f>
        <v>11473</v>
      </c>
      <c r="AF51" s="94">
        <f>2508</f>
        <v>2508</v>
      </c>
      <c r="AG51" s="184">
        <f>6004</f>
        <v>6004</v>
      </c>
      <c r="AH51" s="184">
        <v>9522</v>
      </c>
      <c r="AI51" s="184">
        <v>14556</v>
      </c>
      <c r="AJ51" s="54">
        <v>2815</v>
      </c>
    </row>
    <row r="52" spans="2:36" outlineLevel="1" x14ac:dyDescent="0.2">
      <c r="B52" s="2" t="s">
        <v>180</v>
      </c>
      <c r="C52" s="2" t="s">
        <v>18</v>
      </c>
      <c r="D52" s="94">
        <v>1628</v>
      </c>
      <c r="E52" s="94">
        <v>3640</v>
      </c>
      <c r="F52" s="94">
        <v>5452</v>
      </c>
      <c r="G52" s="94">
        <v>6803</v>
      </c>
      <c r="H52" s="94">
        <v>1916</v>
      </c>
      <c r="I52" s="94">
        <v>3782</v>
      </c>
      <c r="J52" s="94">
        <v>5403</v>
      </c>
      <c r="K52" s="94">
        <v>6602</v>
      </c>
      <c r="L52" s="94">
        <v>1536</v>
      </c>
      <c r="M52" s="94">
        <v>1934</v>
      </c>
      <c r="N52" s="94">
        <v>3383</v>
      </c>
      <c r="O52" s="94">
        <v>5972</v>
      </c>
      <c r="P52" s="94">
        <v>1331</v>
      </c>
      <c r="Q52" s="94">
        <v>3034</v>
      </c>
      <c r="R52" s="94">
        <v>3603</v>
      </c>
      <c r="S52" s="94">
        <v>4357</v>
      </c>
      <c r="T52" s="94">
        <v>849</v>
      </c>
      <c r="U52" s="94">
        <v>2275</v>
      </c>
      <c r="V52" s="94">
        <v>3015</v>
      </c>
      <c r="W52" s="94">
        <v>3730</v>
      </c>
      <c r="X52" s="184">
        <v>916</v>
      </c>
      <c r="Y52" s="184">
        <v>1759</v>
      </c>
      <c r="Z52" s="184">
        <v>3374</v>
      </c>
      <c r="AA52" s="184">
        <v>8842</v>
      </c>
      <c r="AB52" s="184">
        <v>2337</v>
      </c>
      <c r="AC52" s="94">
        <v>3784</v>
      </c>
      <c r="AD52" s="184">
        <v>6233</v>
      </c>
      <c r="AE52" s="184">
        <v>7275</v>
      </c>
      <c r="AF52" s="184">
        <v>2022</v>
      </c>
      <c r="AG52" s="184">
        <v>4592</v>
      </c>
      <c r="AH52" s="184">
        <v>6923</v>
      </c>
      <c r="AI52" s="184">
        <v>8631</v>
      </c>
      <c r="AJ52" s="54">
        <v>2358</v>
      </c>
    </row>
    <row r="53" spans="2:36" outlineLevel="1" x14ac:dyDescent="0.2">
      <c r="B53" s="2" t="s">
        <v>193</v>
      </c>
      <c r="C53" s="2" t="s">
        <v>18</v>
      </c>
      <c r="D53" s="94">
        <v>1763</v>
      </c>
      <c r="E53" s="94">
        <v>1391</v>
      </c>
      <c r="F53" s="94">
        <v>2063</v>
      </c>
      <c r="G53" s="94">
        <v>8465</v>
      </c>
      <c r="H53" s="68" t="s">
        <v>100</v>
      </c>
      <c r="I53" s="68" t="s">
        <v>100</v>
      </c>
      <c r="J53" s="94"/>
      <c r="K53" s="94">
        <v>5912</v>
      </c>
      <c r="L53" s="94"/>
      <c r="M53" s="94"/>
      <c r="N53" s="94"/>
      <c r="O53" s="94">
        <v>3030</v>
      </c>
      <c r="P53" s="94"/>
      <c r="Q53" s="94"/>
      <c r="R53" s="94">
        <v>0</v>
      </c>
      <c r="S53" s="94">
        <v>3713</v>
      </c>
      <c r="T53" s="94"/>
      <c r="U53" s="94"/>
      <c r="V53" s="94"/>
      <c r="W53" s="94">
        <f>2815-2815</f>
        <v>0</v>
      </c>
      <c r="X53" s="184"/>
      <c r="Y53" s="184"/>
      <c r="Z53" s="184"/>
      <c r="AA53" s="184">
        <v>3222</v>
      </c>
      <c r="AB53" s="184"/>
      <c r="AC53" s="94"/>
      <c r="AD53" s="184"/>
      <c r="AE53" s="184">
        <v>2580</v>
      </c>
      <c r="AF53" s="184"/>
      <c r="AG53" s="184"/>
      <c r="AH53" s="184"/>
      <c r="AI53" s="184">
        <v>4447</v>
      </c>
      <c r="AJ53" s="54"/>
    </row>
    <row r="54" spans="2:36" outlineLevel="1" x14ac:dyDescent="0.2">
      <c r="B54" s="2" t="s">
        <v>181</v>
      </c>
      <c r="C54" s="2" t="s">
        <v>18</v>
      </c>
      <c r="D54" s="94">
        <v>738</v>
      </c>
      <c r="E54" s="94">
        <v>238</v>
      </c>
      <c r="F54" s="94">
        <v>344</v>
      </c>
      <c r="G54" s="94">
        <v>2887</v>
      </c>
      <c r="H54" s="94">
        <v>674</v>
      </c>
      <c r="I54" s="94">
        <v>1440</v>
      </c>
      <c r="J54" s="94">
        <v>2048</v>
      </c>
      <c r="K54" s="94">
        <v>2818</v>
      </c>
      <c r="L54" s="94">
        <v>691</v>
      </c>
      <c r="M54" s="94">
        <v>1247</v>
      </c>
      <c r="N54" s="94">
        <v>1988</v>
      </c>
      <c r="O54" s="94">
        <v>2798</v>
      </c>
      <c r="P54" s="94">
        <v>462</v>
      </c>
      <c r="Q54" s="94">
        <v>1686</v>
      </c>
      <c r="R54" s="94">
        <v>2495</v>
      </c>
      <c r="S54" s="94">
        <v>3413</v>
      </c>
      <c r="T54" s="94">
        <v>1021</v>
      </c>
      <c r="U54" s="94">
        <v>1851</v>
      </c>
      <c r="V54" s="94">
        <v>2667</v>
      </c>
      <c r="W54" s="94">
        <v>3586</v>
      </c>
      <c r="X54" s="184">
        <v>1330</v>
      </c>
      <c r="Y54" s="184">
        <v>2372</v>
      </c>
      <c r="Z54" s="184">
        <v>3441</v>
      </c>
      <c r="AA54" s="184">
        <v>4701</v>
      </c>
      <c r="AB54" s="184">
        <v>1869</v>
      </c>
      <c r="AC54" s="94">
        <v>3842</v>
      </c>
      <c r="AD54" s="184">
        <v>5780</v>
      </c>
      <c r="AE54" s="184">
        <v>8101</v>
      </c>
      <c r="AF54" s="184">
        <v>2207</v>
      </c>
      <c r="AG54" s="184">
        <v>4634</v>
      </c>
      <c r="AH54" s="184">
        <v>7503</v>
      </c>
      <c r="AI54" s="184">
        <v>10462</v>
      </c>
      <c r="AJ54" s="54">
        <v>2906</v>
      </c>
    </row>
    <row r="55" spans="2:36" outlineLevel="1" x14ac:dyDescent="0.2">
      <c r="B55" s="2" t="s">
        <v>192</v>
      </c>
      <c r="C55" s="2" t="s">
        <v>18</v>
      </c>
      <c r="D55" s="68" t="s">
        <v>100</v>
      </c>
      <c r="E55" s="68" t="s">
        <v>100</v>
      </c>
      <c r="F55" s="68" t="s">
        <v>100</v>
      </c>
      <c r="G55" s="94">
        <v>398</v>
      </c>
      <c r="H55" s="94">
        <v>7</v>
      </c>
      <c r="I55" s="68" t="s">
        <v>100</v>
      </c>
      <c r="J55" s="94"/>
      <c r="K55" s="94">
        <v>193</v>
      </c>
      <c r="L55" s="94"/>
      <c r="M55" s="94"/>
      <c r="N55" s="94"/>
      <c r="O55" s="94">
        <v>153</v>
      </c>
      <c r="P55" s="94"/>
      <c r="Q55" s="94"/>
      <c r="R55" s="94"/>
      <c r="S55" s="94">
        <v>265</v>
      </c>
      <c r="T55" s="94"/>
      <c r="U55" s="94"/>
      <c r="V55" s="94"/>
      <c r="W55" s="94">
        <v>339</v>
      </c>
      <c r="X55" s="184"/>
      <c r="Y55" s="184"/>
      <c r="Z55" s="184"/>
      <c r="AA55" s="184"/>
      <c r="AB55" s="184"/>
      <c r="AC55" s="94"/>
      <c r="AD55" s="184"/>
      <c r="AE55" s="184"/>
      <c r="AF55" s="184"/>
      <c r="AG55" s="184"/>
      <c r="AH55" s="184"/>
      <c r="AI55" s="184"/>
      <c r="AJ55" s="54"/>
    </row>
    <row r="56" spans="2:36" outlineLevel="1" x14ac:dyDescent="0.2">
      <c r="B56" s="2" t="s">
        <v>340</v>
      </c>
      <c r="C56" s="2" t="s">
        <v>18</v>
      </c>
      <c r="D56" s="94" t="s">
        <v>100</v>
      </c>
      <c r="E56" s="94">
        <v>216</v>
      </c>
      <c r="F56" s="94">
        <v>270</v>
      </c>
      <c r="G56" s="94">
        <v>291</v>
      </c>
      <c r="H56" s="94">
        <v>68</v>
      </c>
      <c r="I56" s="94">
        <v>323</v>
      </c>
      <c r="J56" s="94">
        <v>434</v>
      </c>
      <c r="K56" s="94">
        <v>448</v>
      </c>
      <c r="L56" s="94" t="s">
        <v>100</v>
      </c>
      <c r="M56" s="94" t="s">
        <v>100</v>
      </c>
      <c r="N56" s="94">
        <v>5</v>
      </c>
      <c r="O56" s="94">
        <v>5</v>
      </c>
      <c r="P56" s="94" t="s">
        <v>100</v>
      </c>
      <c r="Q56" s="94" t="s">
        <v>100</v>
      </c>
      <c r="R56" s="94" t="s">
        <v>100</v>
      </c>
      <c r="S56" s="94">
        <v>0</v>
      </c>
      <c r="T56" s="94"/>
      <c r="U56" s="94"/>
      <c r="V56" s="94"/>
      <c r="W56" s="94"/>
      <c r="X56" s="6"/>
      <c r="AA56" s="185"/>
      <c r="AB56" s="184"/>
      <c r="AC56" s="184"/>
      <c r="AD56" s="184"/>
      <c r="AE56" s="184"/>
      <c r="AF56" s="184"/>
      <c r="AG56" s="184"/>
      <c r="AH56" s="184"/>
      <c r="AI56" s="184"/>
      <c r="AJ56" s="54"/>
    </row>
    <row r="57" spans="2:36" outlineLevel="1" x14ac:dyDescent="0.2">
      <c r="B57" s="72" t="s">
        <v>182</v>
      </c>
      <c r="C57" s="17" t="s">
        <v>18</v>
      </c>
      <c r="D57" s="142">
        <f t="shared" ref="D57:P57" si="11">SUM(D45:D56)</f>
        <v>58958</v>
      </c>
      <c r="E57" s="142">
        <f t="shared" si="11"/>
        <v>145029</v>
      </c>
      <c r="F57" s="142">
        <f t="shared" si="11"/>
        <v>285676</v>
      </c>
      <c r="G57" s="142">
        <f t="shared" si="11"/>
        <v>436632</v>
      </c>
      <c r="H57" s="142">
        <f t="shared" si="11"/>
        <v>57223</v>
      </c>
      <c r="I57" s="142">
        <f t="shared" si="11"/>
        <v>176555</v>
      </c>
      <c r="J57" s="142">
        <f t="shared" si="11"/>
        <v>263134</v>
      </c>
      <c r="K57" s="142">
        <f t="shared" si="11"/>
        <v>502269</v>
      </c>
      <c r="L57" s="142">
        <f t="shared" si="11"/>
        <v>61755</v>
      </c>
      <c r="M57" s="142">
        <f t="shared" si="11"/>
        <v>153139</v>
      </c>
      <c r="N57" s="142">
        <f t="shared" si="11"/>
        <v>356821</v>
      </c>
      <c r="O57" s="142">
        <f t="shared" si="11"/>
        <v>587457</v>
      </c>
      <c r="P57" s="142">
        <f t="shared" si="11"/>
        <v>55619</v>
      </c>
      <c r="Q57" s="142">
        <f t="shared" ref="Q57:AJ57" si="12">SUM(Q44:Q56)</f>
        <v>235501</v>
      </c>
      <c r="R57" s="142">
        <f t="shared" si="12"/>
        <v>331311</v>
      </c>
      <c r="S57" s="142">
        <f t="shared" si="12"/>
        <v>691011</v>
      </c>
      <c r="T57" s="142">
        <f t="shared" si="12"/>
        <v>145277</v>
      </c>
      <c r="U57" s="142">
        <f t="shared" si="12"/>
        <v>493716</v>
      </c>
      <c r="V57" s="142">
        <f t="shared" si="12"/>
        <v>779547</v>
      </c>
      <c r="W57" s="142">
        <f t="shared" si="12"/>
        <v>1001171</v>
      </c>
      <c r="X57" s="142">
        <f t="shared" si="12"/>
        <v>380981</v>
      </c>
      <c r="Y57" s="142">
        <f t="shared" si="12"/>
        <v>618744</v>
      </c>
      <c r="Z57" s="142">
        <f t="shared" si="12"/>
        <v>864613</v>
      </c>
      <c r="AA57" s="186">
        <f t="shared" si="12"/>
        <v>1434635</v>
      </c>
      <c r="AB57" s="186">
        <f t="shared" si="12"/>
        <v>269833</v>
      </c>
      <c r="AC57" s="186">
        <f t="shared" si="12"/>
        <v>701120</v>
      </c>
      <c r="AD57" s="186">
        <f t="shared" si="12"/>
        <v>1138853</v>
      </c>
      <c r="AE57" s="186">
        <f t="shared" si="12"/>
        <v>1813352</v>
      </c>
      <c r="AF57" s="186">
        <f t="shared" si="12"/>
        <v>214409</v>
      </c>
      <c r="AG57" s="186">
        <f t="shared" si="12"/>
        <v>660167</v>
      </c>
      <c r="AH57" s="186">
        <f>SUM(AH44:AH56)</f>
        <v>1192894</v>
      </c>
      <c r="AI57" s="186">
        <f t="shared" si="12"/>
        <v>1803049</v>
      </c>
      <c r="AJ57" s="186">
        <f t="shared" si="12"/>
        <v>154224</v>
      </c>
    </row>
    <row r="58" spans="2:36" outlineLevel="1" x14ac:dyDescent="0.2">
      <c r="B58" s="22"/>
      <c r="C58" s="22"/>
      <c r="D58" s="86" t="str">
        <f t="shared" ref="D58:AJ58" si="13">IF(ABS(D57-D15)&lt;1,"ok","Error")</f>
        <v>ok</v>
      </c>
      <c r="E58" s="86" t="str">
        <f t="shared" si="13"/>
        <v>ok</v>
      </c>
      <c r="F58" s="86" t="str">
        <f t="shared" si="13"/>
        <v>ok</v>
      </c>
      <c r="G58" s="86" t="str">
        <f t="shared" si="13"/>
        <v>ok</v>
      </c>
      <c r="H58" s="86" t="str">
        <f t="shared" si="13"/>
        <v>ok</v>
      </c>
      <c r="I58" s="86" t="str">
        <f t="shared" si="13"/>
        <v>ok</v>
      </c>
      <c r="J58" s="86" t="str">
        <f t="shared" si="13"/>
        <v>ok</v>
      </c>
      <c r="K58" s="86" t="str">
        <f t="shared" si="13"/>
        <v>ok</v>
      </c>
      <c r="L58" s="86" t="str">
        <f t="shared" si="13"/>
        <v>ok</v>
      </c>
      <c r="M58" s="86" t="str">
        <f t="shared" si="13"/>
        <v>ok</v>
      </c>
      <c r="N58" s="86" t="str">
        <f t="shared" si="13"/>
        <v>ok</v>
      </c>
      <c r="O58" s="86" t="str">
        <f t="shared" si="13"/>
        <v>ok</v>
      </c>
      <c r="P58" s="86" t="str">
        <f t="shared" si="13"/>
        <v>ok</v>
      </c>
      <c r="Q58" s="86" t="str">
        <f t="shared" si="13"/>
        <v>ok</v>
      </c>
      <c r="R58" s="86" t="str">
        <f t="shared" si="13"/>
        <v>ok</v>
      </c>
      <c r="S58" s="86" t="str">
        <f t="shared" si="13"/>
        <v>ok</v>
      </c>
      <c r="T58" s="86" t="str">
        <f t="shared" si="13"/>
        <v>ok</v>
      </c>
      <c r="U58" s="86" t="str">
        <f t="shared" si="13"/>
        <v>ok</v>
      </c>
      <c r="V58" s="86" t="str">
        <f t="shared" si="13"/>
        <v>ok</v>
      </c>
      <c r="W58" s="86" t="str">
        <f t="shared" si="13"/>
        <v>ok</v>
      </c>
      <c r="X58" s="86" t="str">
        <f t="shared" si="13"/>
        <v>ok</v>
      </c>
      <c r="Y58" s="86" t="str">
        <f t="shared" si="13"/>
        <v>ok</v>
      </c>
      <c r="Z58" s="86" t="str">
        <f t="shared" si="13"/>
        <v>ok</v>
      </c>
      <c r="AA58" s="86" t="str">
        <f t="shared" si="13"/>
        <v>ok</v>
      </c>
      <c r="AB58" s="86" t="str">
        <f t="shared" si="13"/>
        <v>ok</v>
      </c>
      <c r="AC58" s="86" t="str">
        <f t="shared" si="13"/>
        <v>ok</v>
      </c>
      <c r="AD58" s="86" t="str">
        <f t="shared" si="13"/>
        <v>ok</v>
      </c>
      <c r="AE58" s="86" t="str">
        <f t="shared" si="13"/>
        <v>ok</v>
      </c>
      <c r="AF58" s="86" t="str">
        <f t="shared" si="13"/>
        <v>ok</v>
      </c>
      <c r="AG58" s="86" t="str">
        <f t="shared" si="13"/>
        <v>ok</v>
      </c>
      <c r="AH58" s="86" t="str">
        <f t="shared" si="13"/>
        <v>ok</v>
      </c>
      <c r="AI58" s="86" t="str">
        <f t="shared" si="13"/>
        <v>ok</v>
      </c>
      <c r="AJ58" s="86" t="str">
        <f t="shared" si="13"/>
        <v>ok</v>
      </c>
    </row>
    <row r="59" spans="2:36" ht="45" customHeight="1" outlineLevel="1" x14ac:dyDescent="0.2">
      <c r="B59" s="154" t="s">
        <v>357</v>
      </c>
      <c r="C59" s="22"/>
      <c r="D59" s="86"/>
      <c r="E59" s="86"/>
      <c r="F59" s="86"/>
      <c r="G59" s="86"/>
      <c r="H59" s="86"/>
      <c r="I59" s="86"/>
      <c r="J59" s="86"/>
      <c r="K59" s="86"/>
      <c r="L59" s="86"/>
      <c r="M59" s="86"/>
      <c r="N59" s="86"/>
      <c r="O59" s="86"/>
      <c r="P59" s="86"/>
      <c r="Q59" s="86"/>
      <c r="R59" s="86"/>
      <c r="S59" s="86"/>
      <c r="T59" s="86"/>
      <c r="U59" s="86"/>
      <c r="V59" s="86"/>
      <c r="W59" s="86"/>
      <c r="AA59" s="185"/>
    </row>
    <row r="60" spans="2:36" ht="28.7" customHeight="1" outlineLevel="1" x14ac:dyDescent="0.2">
      <c r="B60" s="154" t="s">
        <v>359</v>
      </c>
      <c r="C60" s="22"/>
      <c r="D60" s="86"/>
      <c r="E60" s="86"/>
      <c r="F60" s="86"/>
      <c r="G60" s="86"/>
      <c r="H60" s="86"/>
      <c r="I60" s="86"/>
      <c r="J60" s="86"/>
      <c r="K60" s="86"/>
      <c r="L60" s="86"/>
      <c r="M60" s="86"/>
      <c r="N60" s="86"/>
      <c r="O60" s="86"/>
      <c r="P60" s="86"/>
      <c r="Q60" s="86"/>
      <c r="R60" s="86"/>
      <c r="S60" s="86"/>
      <c r="T60" s="86"/>
      <c r="U60" s="86"/>
      <c r="V60" s="86"/>
      <c r="W60" s="86"/>
      <c r="AA60" s="185"/>
    </row>
    <row r="61" spans="2:36" ht="42.6" customHeight="1" outlineLevel="1" x14ac:dyDescent="0.2">
      <c r="B61" s="154" t="s">
        <v>358</v>
      </c>
      <c r="C61" s="22"/>
      <c r="D61" s="86"/>
      <c r="E61" s="86"/>
      <c r="F61" s="86"/>
      <c r="G61" s="86"/>
      <c r="H61" s="86"/>
      <c r="I61" s="86"/>
      <c r="J61" s="86"/>
      <c r="K61" s="86"/>
      <c r="L61" s="86"/>
      <c r="M61" s="86"/>
      <c r="N61" s="86"/>
      <c r="O61" s="86"/>
      <c r="P61" s="86"/>
      <c r="Q61" s="86"/>
      <c r="R61" s="86"/>
      <c r="S61" s="86"/>
      <c r="T61" s="86"/>
      <c r="U61" s="86"/>
      <c r="V61" s="86"/>
      <c r="W61" s="86"/>
      <c r="AA61" s="185"/>
    </row>
    <row r="63" spans="2:36" x14ac:dyDescent="0.2">
      <c r="B63" s="11" t="s">
        <v>190</v>
      </c>
      <c r="C63" s="12"/>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2:36" s="68" customFormat="1" outlineLevel="1" x14ac:dyDescent="0.2">
      <c r="B64" s="68" t="s">
        <v>183</v>
      </c>
      <c r="C64" s="68" t="s">
        <v>18</v>
      </c>
      <c r="D64" s="94" t="s">
        <v>100</v>
      </c>
      <c r="E64" s="181">
        <v>63713</v>
      </c>
      <c r="F64" s="181">
        <v>146927</v>
      </c>
      <c r="G64" s="181">
        <v>202817</v>
      </c>
      <c r="H64" s="181">
        <v>12803</v>
      </c>
      <c r="I64" s="181">
        <v>71801</v>
      </c>
      <c r="J64" s="181">
        <v>80889</v>
      </c>
      <c r="K64" s="181">
        <v>147331</v>
      </c>
      <c r="L64" s="181">
        <v>14322</v>
      </c>
      <c r="M64" s="181">
        <v>33269</v>
      </c>
      <c r="N64" s="181">
        <v>84940</v>
      </c>
      <c r="O64" s="181">
        <v>167546</v>
      </c>
      <c r="P64" s="181">
        <v>15660</v>
      </c>
      <c r="Q64" s="181">
        <v>92658</v>
      </c>
      <c r="R64" s="181">
        <v>118860</v>
      </c>
      <c r="S64" s="181">
        <v>241695</v>
      </c>
      <c r="T64" s="181">
        <v>40532</v>
      </c>
      <c r="U64" s="181">
        <v>206039</v>
      </c>
      <c r="V64" s="181">
        <v>309733</v>
      </c>
      <c r="W64" s="181">
        <v>261825</v>
      </c>
      <c r="X64" s="181">
        <v>172450</v>
      </c>
      <c r="Y64" s="181">
        <v>194574</v>
      </c>
      <c r="Z64" s="181">
        <v>91359</v>
      </c>
      <c r="AA64" s="181">
        <v>364841</v>
      </c>
      <c r="AB64" s="181">
        <v>101512</v>
      </c>
      <c r="AC64" s="181">
        <v>296869</v>
      </c>
      <c r="AD64" s="181">
        <v>454427</v>
      </c>
      <c r="AE64" s="181">
        <v>518578</v>
      </c>
      <c r="AF64" s="197">
        <v>93436</v>
      </c>
      <c r="AG64" s="197">
        <v>220522</v>
      </c>
      <c r="AH64" s="197">
        <v>388664</v>
      </c>
      <c r="AI64" s="181">
        <v>495364</v>
      </c>
      <c r="AJ64" s="197">
        <v>52218</v>
      </c>
    </row>
    <row r="65" spans="2:36" outlineLevel="1" x14ac:dyDescent="0.2">
      <c r="B65" s="2" t="s">
        <v>184</v>
      </c>
      <c r="C65" s="2" t="s">
        <v>18</v>
      </c>
      <c r="D65" s="54" t="s">
        <v>100</v>
      </c>
      <c r="E65" s="181">
        <v>18322</v>
      </c>
      <c r="F65" s="181">
        <v>25663</v>
      </c>
      <c r="G65" s="181">
        <v>39866</v>
      </c>
      <c r="H65" s="181">
        <v>10546</v>
      </c>
      <c r="I65" s="181">
        <v>26113</v>
      </c>
      <c r="J65" s="181">
        <v>28716</v>
      </c>
      <c r="K65" s="181">
        <v>60044</v>
      </c>
      <c r="L65" s="181">
        <v>8580</v>
      </c>
      <c r="M65" s="181">
        <v>17048</v>
      </c>
      <c r="N65" s="181">
        <v>38650</v>
      </c>
      <c r="O65" s="181">
        <v>60002</v>
      </c>
      <c r="P65" s="181">
        <v>8308</v>
      </c>
      <c r="Q65" s="181">
        <v>25334</v>
      </c>
      <c r="R65" s="181">
        <v>36494</v>
      </c>
      <c r="S65" s="181">
        <v>66429</v>
      </c>
      <c r="T65" s="181">
        <v>13080</v>
      </c>
      <c r="U65" s="181">
        <v>33858</v>
      </c>
      <c r="V65" s="181">
        <v>48998</v>
      </c>
      <c r="W65" s="181">
        <v>79037</v>
      </c>
      <c r="X65" s="181">
        <v>22281</v>
      </c>
      <c r="Y65" s="181">
        <v>46442</v>
      </c>
      <c r="Z65" s="181">
        <v>14914</v>
      </c>
      <c r="AA65" s="181">
        <v>92824</v>
      </c>
      <c r="AB65" s="181">
        <v>19065</v>
      </c>
      <c r="AC65" s="181">
        <v>46548</v>
      </c>
      <c r="AD65" s="181">
        <v>71166</v>
      </c>
      <c r="AE65" s="181">
        <v>119922</v>
      </c>
      <c r="AF65" s="197">
        <v>12328</v>
      </c>
      <c r="AG65" s="197">
        <v>48185</v>
      </c>
      <c r="AH65" s="197">
        <v>82188</v>
      </c>
      <c r="AI65" s="181">
        <v>146227</v>
      </c>
      <c r="AJ65" s="197">
        <v>12178</v>
      </c>
    </row>
    <row r="66" spans="2:36" outlineLevel="1" x14ac:dyDescent="0.2">
      <c r="B66" s="2" t="s">
        <v>185</v>
      </c>
      <c r="C66" s="2" t="s">
        <v>18</v>
      </c>
      <c r="D66" s="54" t="s">
        <v>100</v>
      </c>
      <c r="E66" s="181">
        <v>11072</v>
      </c>
      <c r="F66" s="181">
        <v>16652</v>
      </c>
      <c r="G66" s="181">
        <v>24024</v>
      </c>
      <c r="H66" s="181">
        <v>4941</v>
      </c>
      <c r="I66" s="181">
        <v>7226</v>
      </c>
      <c r="J66" s="181">
        <v>16943</v>
      </c>
      <c r="K66" s="181">
        <v>29632</v>
      </c>
      <c r="L66" s="181">
        <v>5853</v>
      </c>
      <c r="M66" s="181">
        <v>13090</v>
      </c>
      <c r="N66" s="181">
        <v>20090</v>
      </c>
      <c r="O66" s="181">
        <v>31874</v>
      </c>
      <c r="P66" s="181">
        <v>6478</v>
      </c>
      <c r="Q66" s="181">
        <v>13863</v>
      </c>
      <c r="R66" s="181">
        <v>21617</v>
      </c>
      <c r="S66" s="181">
        <v>33294</v>
      </c>
      <c r="T66" s="181">
        <v>9199</v>
      </c>
      <c r="U66" s="181">
        <v>19387</v>
      </c>
      <c r="V66" s="181">
        <v>30479</v>
      </c>
      <c r="W66" s="181">
        <v>49348</v>
      </c>
      <c r="X66" s="181">
        <v>12844</v>
      </c>
      <c r="Y66" s="181">
        <v>28419</v>
      </c>
      <c r="Z66" s="181">
        <v>9650</v>
      </c>
      <c r="AA66" s="181">
        <v>61886</v>
      </c>
      <c r="AB66" s="181">
        <v>13835</v>
      </c>
      <c r="AC66" s="181">
        <v>29469</v>
      </c>
      <c r="AD66" s="181">
        <v>43708</v>
      </c>
      <c r="AE66" s="181">
        <v>71346</v>
      </c>
      <c r="AF66" s="197">
        <v>13739</v>
      </c>
      <c r="AG66" s="197">
        <v>33544</v>
      </c>
      <c r="AH66" s="197">
        <v>51495</v>
      </c>
      <c r="AI66" s="181">
        <v>81128</v>
      </c>
      <c r="AJ66" s="197">
        <v>15492</v>
      </c>
    </row>
    <row r="67" spans="2:36" outlineLevel="1" x14ac:dyDescent="0.2">
      <c r="B67" s="2" t="s">
        <v>186</v>
      </c>
      <c r="C67" s="2" t="s">
        <v>18</v>
      </c>
      <c r="D67" s="54" t="s">
        <v>100</v>
      </c>
      <c r="E67" s="181">
        <v>9362</v>
      </c>
      <c r="F67" s="181">
        <v>12598</v>
      </c>
      <c r="G67" s="181">
        <v>22033</v>
      </c>
      <c r="H67" s="181">
        <v>5553</v>
      </c>
      <c r="I67" s="181">
        <v>10407</v>
      </c>
      <c r="J67" s="181">
        <v>14413</v>
      </c>
      <c r="K67" s="181">
        <v>27021</v>
      </c>
      <c r="L67" s="181">
        <v>3200</v>
      </c>
      <c r="M67" s="181">
        <v>8806</v>
      </c>
      <c r="N67" s="181">
        <v>15456</v>
      </c>
      <c r="O67" s="181">
        <v>23775</v>
      </c>
      <c r="P67" s="181">
        <v>3691</v>
      </c>
      <c r="Q67" s="181">
        <v>8805</v>
      </c>
      <c r="R67" s="181">
        <v>14095</v>
      </c>
      <c r="S67" s="181">
        <v>25474</v>
      </c>
      <c r="T67" s="181">
        <v>5506</v>
      </c>
      <c r="U67" s="181">
        <v>12506</v>
      </c>
      <c r="V67" s="181">
        <v>18868</v>
      </c>
      <c r="W67" s="181">
        <v>32216</v>
      </c>
      <c r="X67" s="181">
        <v>8180</v>
      </c>
      <c r="Y67" s="181">
        <v>20967</v>
      </c>
      <c r="Z67" s="181">
        <v>8821</v>
      </c>
      <c r="AA67" s="181">
        <v>55868</v>
      </c>
      <c r="AB67" s="181">
        <v>15578</v>
      </c>
      <c r="AC67" s="181">
        <v>36239</v>
      </c>
      <c r="AD67" s="181">
        <v>55916</v>
      </c>
      <c r="AE67" s="181">
        <v>91487</v>
      </c>
      <c r="AF67" s="197">
        <v>10367</v>
      </c>
      <c r="AG67" s="197">
        <v>43447</v>
      </c>
      <c r="AH67" s="197">
        <v>73855</v>
      </c>
      <c r="AI67" s="181">
        <v>137186</v>
      </c>
      <c r="AJ67" s="197">
        <v>18451</v>
      </c>
    </row>
    <row r="68" spans="2:36" s="68" customFormat="1" outlineLevel="1" x14ac:dyDescent="0.2">
      <c r="B68" s="68" t="s">
        <v>187</v>
      </c>
      <c r="C68" s="68" t="s">
        <v>18</v>
      </c>
      <c r="D68" s="94" t="s">
        <v>100</v>
      </c>
      <c r="E68" s="181">
        <v>5698</v>
      </c>
      <c r="F68" s="181">
        <v>7959</v>
      </c>
      <c r="G68" s="181">
        <v>10354</v>
      </c>
      <c r="H68" s="181">
        <v>2648</v>
      </c>
      <c r="I68" s="181">
        <v>8845</v>
      </c>
      <c r="J68" s="181">
        <v>10937</v>
      </c>
      <c r="K68" s="181">
        <v>18566</v>
      </c>
      <c r="L68" s="181">
        <v>655</v>
      </c>
      <c r="M68" s="181">
        <v>11394</v>
      </c>
      <c r="N68" s="181">
        <v>12444</v>
      </c>
      <c r="O68" s="181">
        <v>19738</v>
      </c>
      <c r="P68" s="181">
        <v>887</v>
      </c>
      <c r="Q68" s="181">
        <v>5850</v>
      </c>
      <c r="R68" s="181">
        <v>10605</v>
      </c>
      <c r="S68" s="181">
        <v>17404</v>
      </c>
      <c r="T68" s="181">
        <v>2261</v>
      </c>
      <c r="U68" s="181">
        <v>7462</v>
      </c>
      <c r="V68" s="181">
        <v>19035</v>
      </c>
      <c r="W68" s="181">
        <v>31361</v>
      </c>
      <c r="X68" s="181">
        <v>8631</v>
      </c>
      <c r="Y68" s="181">
        <v>19221</v>
      </c>
      <c r="Z68" s="181">
        <v>23448</v>
      </c>
      <c r="AA68" s="181">
        <v>71126</v>
      </c>
      <c r="AB68" s="181">
        <v>13497</v>
      </c>
      <c r="AC68" s="181">
        <v>23387</v>
      </c>
      <c r="AD68" s="181">
        <v>50848</v>
      </c>
      <c r="AE68" s="181">
        <v>113015</v>
      </c>
      <c r="AF68" s="197">
        <v>2920</v>
      </c>
      <c r="AG68" s="197">
        <v>16306</v>
      </c>
      <c r="AH68" s="197">
        <v>29163</v>
      </c>
      <c r="AI68" s="181">
        <v>57190</v>
      </c>
      <c r="AJ68" s="197">
        <v>2912</v>
      </c>
    </row>
    <row r="69" spans="2:36" outlineLevel="1" x14ac:dyDescent="0.2">
      <c r="B69" s="2" t="s">
        <v>188</v>
      </c>
      <c r="C69" s="2" t="s">
        <v>18</v>
      </c>
      <c r="D69" s="54" t="s">
        <v>100</v>
      </c>
      <c r="E69" s="181">
        <v>1762</v>
      </c>
      <c r="F69" s="181">
        <v>2864</v>
      </c>
      <c r="G69" s="181">
        <v>3490</v>
      </c>
      <c r="H69" s="181">
        <v>697</v>
      </c>
      <c r="I69" s="181">
        <v>1077</v>
      </c>
      <c r="J69" s="181">
        <v>2515</v>
      </c>
      <c r="K69" s="181">
        <v>4132</v>
      </c>
      <c r="L69" s="181">
        <v>342</v>
      </c>
      <c r="M69" s="181">
        <v>1328</v>
      </c>
      <c r="N69" s="181">
        <v>2816</v>
      </c>
      <c r="O69" s="181">
        <v>4751</v>
      </c>
      <c r="P69" s="181">
        <v>879</v>
      </c>
      <c r="Q69" s="181">
        <v>1586</v>
      </c>
      <c r="R69" s="181">
        <v>2676</v>
      </c>
      <c r="S69" s="181">
        <v>4918</v>
      </c>
      <c r="T69" s="181">
        <v>820</v>
      </c>
      <c r="U69" s="181">
        <v>1901</v>
      </c>
      <c r="V69" s="181">
        <v>2783</v>
      </c>
      <c r="W69" s="181">
        <v>5082</v>
      </c>
      <c r="X69" s="181">
        <v>1077</v>
      </c>
      <c r="Y69" s="181">
        <v>2216</v>
      </c>
      <c r="Z69" s="181">
        <v>903</v>
      </c>
      <c r="AA69" s="181">
        <v>5475</v>
      </c>
      <c r="AB69" s="181">
        <v>953</v>
      </c>
      <c r="AC69" s="181">
        <v>2000</v>
      </c>
      <c r="AD69" s="181">
        <v>3278</v>
      </c>
      <c r="AE69" s="181">
        <v>5966</v>
      </c>
      <c r="AF69" s="197">
        <v>907</v>
      </c>
      <c r="AG69" s="197">
        <v>2216</v>
      </c>
      <c r="AH69" s="197">
        <v>3489</v>
      </c>
      <c r="AI69" s="181">
        <v>6463</v>
      </c>
      <c r="AJ69" s="197">
        <v>704</v>
      </c>
    </row>
    <row r="70" spans="2:36" outlineLevel="1" x14ac:dyDescent="0.2">
      <c r="B70" s="2" t="s">
        <v>279</v>
      </c>
      <c r="C70" s="2" t="s">
        <v>18</v>
      </c>
      <c r="D70" s="54" t="s">
        <v>100</v>
      </c>
      <c r="E70" s="181">
        <v>1198</v>
      </c>
      <c r="F70" s="181">
        <v>1980</v>
      </c>
      <c r="G70" s="181">
        <v>3021</v>
      </c>
      <c r="H70" s="181">
        <v>399</v>
      </c>
      <c r="I70" s="181">
        <v>1215</v>
      </c>
      <c r="J70" s="181">
        <v>2195</v>
      </c>
      <c r="K70" s="181">
        <v>6795</v>
      </c>
      <c r="L70" s="181">
        <v>2047</v>
      </c>
      <c r="M70" s="181">
        <v>1255</v>
      </c>
      <c r="N70" s="181">
        <v>1601</v>
      </c>
      <c r="O70" s="181">
        <v>2913</v>
      </c>
      <c r="P70" s="181">
        <v>738</v>
      </c>
      <c r="Q70" s="181">
        <v>2299</v>
      </c>
      <c r="R70" s="181">
        <v>3478</v>
      </c>
      <c r="S70" s="181">
        <v>4982</v>
      </c>
      <c r="T70" s="181">
        <v>444</v>
      </c>
      <c r="U70" s="181">
        <v>2546</v>
      </c>
      <c r="V70" s="181">
        <v>3957</v>
      </c>
      <c r="W70" s="181">
        <v>5787</v>
      </c>
      <c r="X70" s="181">
        <v>1501</v>
      </c>
      <c r="Y70" s="181">
        <v>3132</v>
      </c>
      <c r="Z70" s="181">
        <v>1239</v>
      </c>
      <c r="AA70" s="181">
        <v>6780</v>
      </c>
      <c r="AB70" s="181">
        <v>1536</v>
      </c>
      <c r="AC70" s="181">
        <v>3244</v>
      </c>
      <c r="AD70" s="181">
        <v>4717</v>
      </c>
      <c r="AE70" s="181">
        <v>4967</v>
      </c>
      <c r="AF70" s="197">
        <v>1653</v>
      </c>
      <c r="AG70" s="197">
        <v>2755</v>
      </c>
      <c r="AH70" s="197">
        <v>4542</v>
      </c>
      <c r="AI70" s="181">
        <v>6739</v>
      </c>
      <c r="AJ70" s="197">
        <v>1587</v>
      </c>
    </row>
    <row r="71" spans="2:36" outlineLevel="1" x14ac:dyDescent="0.2">
      <c r="B71" s="2" t="s">
        <v>189</v>
      </c>
      <c r="C71" s="2" t="s">
        <v>18</v>
      </c>
      <c r="D71" s="54" t="s">
        <v>100</v>
      </c>
      <c r="E71" s="181">
        <v>922</v>
      </c>
      <c r="F71" s="181">
        <v>1184</v>
      </c>
      <c r="G71" s="181">
        <v>1581</v>
      </c>
      <c r="H71" s="181">
        <v>420</v>
      </c>
      <c r="I71" s="181">
        <v>647</v>
      </c>
      <c r="J71" s="181">
        <v>986</v>
      </c>
      <c r="K71" s="181">
        <v>1607</v>
      </c>
      <c r="L71" s="181">
        <v>371</v>
      </c>
      <c r="M71" s="181">
        <v>711</v>
      </c>
      <c r="N71" s="181">
        <v>1104</v>
      </c>
      <c r="O71" s="181">
        <v>1669</v>
      </c>
      <c r="P71" s="181">
        <v>468</v>
      </c>
      <c r="Q71" s="181">
        <v>940</v>
      </c>
      <c r="R71" s="181">
        <v>1169</v>
      </c>
      <c r="S71" s="181">
        <v>1703</v>
      </c>
      <c r="T71" s="181">
        <v>490</v>
      </c>
      <c r="U71" s="181">
        <v>889</v>
      </c>
      <c r="V71" s="181">
        <v>1102</v>
      </c>
      <c r="W71" s="181">
        <f>1678-1678</f>
        <v>0</v>
      </c>
      <c r="X71" s="181"/>
      <c r="Y71" s="181">
        <f>929-929</f>
        <v>0</v>
      </c>
      <c r="Z71" s="181">
        <f>202-202</f>
        <v>0</v>
      </c>
      <c r="AA71" s="181">
        <f>1714-1714</f>
        <v>0</v>
      </c>
      <c r="AB71" s="181"/>
      <c r="AC71" s="181">
        <v>1266</v>
      </c>
      <c r="AD71" s="181">
        <v>1609</v>
      </c>
      <c r="AE71" s="181">
        <v>2467</v>
      </c>
      <c r="AF71" s="197"/>
      <c r="AG71" s="197">
        <v>1395</v>
      </c>
      <c r="AH71" s="197">
        <v>2036</v>
      </c>
      <c r="AI71" s="181">
        <v>3468</v>
      </c>
      <c r="AJ71" s="197"/>
    </row>
    <row r="72" spans="2:36" outlineLevel="1" x14ac:dyDescent="0.2">
      <c r="B72" s="2" t="s">
        <v>274</v>
      </c>
      <c r="C72" s="2" t="s">
        <v>18</v>
      </c>
      <c r="D72" s="54"/>
      <c r="E72" s="181"/>
      <c r="F72" s="181"/>
      <c r="G72" s="181"/>
      <c r="H72" s="181"/>
      <c r="I72" s="181"/>
      <c r="J72" s="181"/>
      <c r="K72" s="181"/>
      <c r="L72" s="181"/>
      <c r="M72" s="181"/>
      <c r="N72" s="181"/>
      <c r="O72" s="181"/>
      <c r="P72" s="181"/>
      <c r="Q72" s="181"/>
      <c r="R72" s="181">
        <v>-170</v>
      </c>
      <c r="S72" s="181"/>
      <c r="T72" s="181"/>
      <c r="U72" s="181">
        <v>3713</v>
      </c>
      <c r="V72" s="181">
        <v>2955</v>
      </c>
      <c r="W72" s="181"/>
      <c r="X72" s="181"/>
      <c r="Y72" s="181">
        <f>96-96</f>
        <v>0</v>
      </c>
      <c r="Z72" s="181">
        <f>-6+6</f>
        <v>0</v>
      </c>
      <c r="AA72" s="181"/>
      <c r="AB72" s="181"/>
      <c r="AC72" s="181"/>
      <c r="AD72" s="181">
        <v>127</v>
      </c>
      <c r="AE72" s="181">
        <v>-199</v>
      </c>
      <c r="AF72" s="179"/>
      <c r="AG72" s="179">
        <v>28</v>
      </c>
      <c r="AH72" s="179">
        <v>-69</v>
      </c>
      <c r="AI72" s="181">
        <v>2688</v>
      </c>
      <c r="AJ72" s="179"/>
    </row>
    <row r="73" spans="2:36" outlineLevel="1" x14ac:dyDescent="0.2">
      <c r="B73" s="2" t="s">
        <v>160</v>
      </c>
      <c r="C73" s="2" t="s">
        <v>18</v>
      </c>
      <c r="D73" s="54"/>
      <c r="E73" s="181"/>
      <c r="F73" s="181"/>
      <c r="G73" s="181"/>
      <c r="H73" s="181"/>
      <c r="I73" s="181"/>
      <c r="J73" s="181"/>
      <c r="K73" s="181"/>
      <c r="L73" s="181"/>
      <c r="M73" s="181"/>
      <c r="N73" s="181"/>
      <c r="O73" s="181"/>
      <c r="P73" s="181"/>
      <c r="Q73" s="181"/>
      <c r="R73" s="181"/>
      <c r="S73" s="181"/>
      <c r="T73" s="181"/>
      <c r="U73" s="181"/>
      <c r="V73" s="181"/>
      <c r="W73" s="181">
        <f>234-234</f>
        <v>0</v>
      </c>
      <c r="X73" s="181"/>
      <c r="Y73" s="181"/>
      <c r="Z73" s="181"/>
      <c r="AA73" s="181">
        <f>413-413</f>
        <v>0</v>
      </c>
      <c r="AB73" s="181"/>
      <c r="AC73" s="181">
        <v>-85</v>
      </c>
      <c r="AD73" s="181"/>
      <c r="AE73" s="181"/>
      <c r="AF73" s="179"/>
      <c r="AG73" s="179"/>
      <c r="AH73" s="179"/>
      <c r="AI73" s="181"/>
      <c r="AJ73" s="179"/>
    </row>
    <row r="74" spans="2:36" outlineLevel="1" x14ac:dyDescent="0.2">
      <c r="B74" s="2" t="s">
        <v>137</v>
      </c>
      <c r="C74" s="2" t="s">
        <v>18</v>
      </c>
      <c r="D74" s="54" t="s">
        <v>100</v>
      </c>
      <c r="E74" s="181">
        <v>1057</v>
      </c>
      <c r="F74" s="181">
        <v>4125</v>
      </c>
      <c r="G74" s="181">
        <f>6318+233+80</f>
        <v>6631</v>
      </c>
      <c r="H74" s="181">
        <f>1066+39+6</f>
        <v>1111</v>
      </c>
      <c r="I74" s="181">
        <v>2265</v>
      </c>
      <c r="J74" s="181">
        <v>3242</v>
      </c>
      <c r="K74" s="181">
        <f>12113+221+36</f>
        <v>12370</v>
      </c>
      <c r="L74" s="181">
        <v>1176</v>
      </c>
      <c r="M74" s="181">
        <v>2437</v>
      </c>
      <c r="N74" s="181">
        <v>1440</v>
      </c>
      <c r="O74" s="181">
        <f>6819+422+115</f>
        <v>7356</v>
      </c>
      <c r="P74" s="181">
        <v>1037</v>
      </c>
      <c r="Q74" s="181">
        <v>2710</v>
      </c>
      <c r="R74" s="181">
        <v>4719</v>
      </c>
      <c r="S74" s="181">
        <v>7068</v>
      </c>
      <c r="T74" s="181">
        <v>1698</v>
      </c>
      <c r="U74" s="181">
        <v>3231</v>
      </c>
      <c r="V74" s="181">
        <v>5212</v>
      </c>
      <c r="W74" s="181">
        <f>8719-190+1678+234</f>
        <v>10441</v>
      </c>
      <c r="X74" s="181">
        <v>2240</v>
      </c>
      <c r="Y74" s="181">
        <f>4547+929+96</f>
        <v>5572</v>
      </c>
      <c r="Z74" s="181">
        <f>1726-6+202</f>
        <v>1922</v>
      </c>
      <c r="AA74" s="181">
        <f>10935+1714+413</f>
        <v>13062</v>
      </c>
      <c r="AB74" s="181">
        <v>2779</v>
      </c>
      <c r="AC74" s="181">
        <v>4426</v>
      </c>
      <c r="AD74" s="181">
        <v>7025</v>
      </c>
      <c r="AE74" s="181">
        <v>4072</v>
      </c>
      <c r="AF74" s="179">
        <v>2463</v>
      </c>
      <c r="AG74" s="197">
        <v>5268</v>
      </c>
      <c r="AH74" s="197">
        <v>7829</v>
      </c>
      <c r="AI74" s="181">
        <v>4200</v>
      </c>
      <c r="AJ74" s="197">
        <v>512</v>
      </c>
    </row>
    <row r="75" spans="2:36" outlineLevel="1" x14ac:dyDescent="0.2">
      <c r="B75" s="17" t="s">
        <v>229</v>
      </c>
      <c r="C75" s="17" t="s">
        <v>18</v>
      </c>
      <c r="D75" s="146" t="s">
        <v>194</v>
      </c>
      <c r="E75" s="186">
        <f t="shared" ref="E75:AJ75" si="14">SUM(E64:E74)</f>
        <v>113106</v>
      </c>
      <c r="F75" s="186">
        <f t="shared" si="14"/>
        <v>219952</v>
      </c>
      <c r="G75" s="186">
        <f t="shared" si="14"/>
        <v>313817</v>
      </c>
      <c r="H75" s="186">
        <f t="shared" si="14"/>
        <v>39118</v>
      </c>
      <c r="I75" s="186">
        <f t="shared" si="14"/>
        <v>129596</v>
      </c>
      <c r="J75" s="186">
        <f t="shared" si="14"/>
        <v>160836</v>
      </c>
      <c r="K75" s="186">
        <f t="shared" si="14"/>
        <v>307498</v>
      </c>
      <c r="L75" s="186">
        <f t="shared" si="14"/>
        <v>36546</v>
      </c>
      <c r="M75" s="186">
        <f t="shared" si="14"/>
        <v>89338</v>
      </c>
      <c r="N75" s="186">
        <f t="shared" si="14"/>
        <v>178541</v>
      </c>
      <c r="O75" s="186">
        <f t="shared" si="14"/>
        <v>319624</v>
      </c>
      <c r="P75" s="186">
        <f t="shared" si="14"/>
        <v>38146</v>
      </c>
      <c r="Q75" s="186">
        <f t="shared" si="14"/>
        <v>154045</v>
      </c>
      <c r="R75" s="186">
        <f t="shared" si="14"/>
        <v>213543</v>
      </c>
      <c r="S75" s="186">
        <f t="shared" si="14"/>
        <v>402967</v>
      </c>
      <c r="T75" s="186">
        <f t="shared" si="14"/>
        <v>74030</v>
      </c>
      <c r="U75" s="186">
        <f t="shared" si="14"/>
        <v>291532</v>
      </c>
      <c r="V75" s="186">
        <f t="shared" si="14"/>
        <v>443122</v>
      </c>
      <c r="W75" s="186">
        <f t="shared" si="14"/>
        <v>475097</v>
      </c>
      <c r="X75" s="186">
        <f t="shared" si="14"/>
        <v>229204</v>
      </c>
      <c r="Y75" s="186">
        <f>SUM(Y64:Y74)</f>
        <v>320543</v>
      </c>
      <c r="Z75" s="186">
        <f>SUM(Z64:Z74)</f>
        <v>152256</v>
      </c>
      <c r="AA75" s="186">
        <f t="shared" si="14"/>
        <v>671862</v>
      </c>
      <c r="AB75" s="186">
        <f t="shared" si="14"/>
        <v>168755</v>
      </c>
      <c r="AC75" s="186">
        <f t="shared" si="14"/>
        <v>443363</v>
      </c>
      <c r="AD75" s="186">
        <f t="shared" si="14"/>
        <v>692821</v>
      </c>
      <c r="AE75" s="186">
        <f t="shared" si="14"/>
        <v>931621</v>
      </c>
      <c r="AF75" s="186">
        <f t="shared" si="14"/>
        <v>137813</v>
      </c>
      <c r="AG75" s="186">
        <f t="shared" si="14"/>
        <v>373666</v>
      </c>
      <c r="AH75" s="186">
        <f t="shared" si="14"/>
        <v>643192</v>
      </c>
      <c r="AI75" s="186">
        <f t="shared" si="14"/>
        <v>940653</v>
      </c>
      <c r="AJ75" s="186">
        <f t="shared" si="14"/>
        <v>104054</v>
      </c>
    </row>
    <row r="76" spans="2:36" outlineLevel="1" x14ac:dyDescent="0.2">
      <c r="B76" s="22"/>
      <c r="C76" s="22"/>
      <c r="D76" s="86"/>
      <c r="E76" s="86" t="str">
        <f t="shared" ref="E76:Q76" si="15">IF(ABS(E75+E16)&lt;1,"ok","Error")</f>
        <v>ok</v>
      </c>
      <c r="F76" s="86" t="str">
        <f t="shared" si="15"/>
        <v>ok</v>
      </c>
      <c r="G76" s="86" t="str">
        <f t="shared" si="15"/>
        <v>ok</v>
      </c>
      <c r="H76" s="86" t="str">
        <f t="shared" si="15"/>
        <v>ok</v>
      </c>
      <c r="I76" s="86" t="str">
        <f t="shared" si="15"/>
        <v>ok</v>
      </c>
      <c r="J76" s="86" t="str">
        <f t="shared" si="15"/>
        <v>ok</v>
      </c>
      <c r="K76" s="86" t="str">
        <f t="shared" si="15"/>
        <v>ok</v>
      </c>
      <c r="L76" s="86" t="str">
        <f t="shared" si="15"/>
        <v>ok</v>
      </c>
      <c r="M76" s="86" t="str">
        <f t="shared" si="15"/>
        <v>ok</v>
      </c>
      <c r="N76" s="86" t="str">
        <f t="shared" si="15"/>
        <v>ok</v>
      </c>
      <c r="O76" s="86" t="str">
        <f t="shared" si="15"/>
        <v>ok</v>
      </c>
      <c r="P76" s="86" t="str">
        <f t="shared" si="15"/>
        <v>ok</v>
      </c>
      <c r="Q76" s="86" t="str">
        <f t="shared" si="15"/>
        <v>ok</v>
      </c>
      <c r="R76" s="86"/>
      <c r="S76" s="86"/>
      <c r="T76" s="86"/>
      <c r="U76" s="86"/>
      <c r="V76" s="86"/>
      <c r="W76" s="86"/>
      <c r="X76" s="86"/>
      <c r="Y76" s="86"/>
      <c r="Z76" s="86"/>
      <c r="AA76" s="86"/>
      <c r="AB76" s="86"/>
      <c r="AC76" s="86"/>
      <c r="AD76" s="86"/>
      <c r="AE76" s="86"/>
      <c r="AF76" s="86"/>
    </row>
    <row r="77" spans="2:36" ht="29.25" outlineLevel="1" x14ac:dyDescent="0.2">
      <c r="B77" s="187" t="s">
        <v>331</v>
      </c>
    </row>
    <row r="78" spans="2:36" outlineLevel="1" x14ac:dyDescent="0.2"/>
    <row r="79" spans="2:36" outlineLevel="1" x14ac:dyDescent="0.2"/>
    <row r="80" spans="2:36" outlineLevel="1" x14ac:dyDescent="0.2"/>
    <row r="81" outlineLevel="1" x14ac:dyDescent="0.2"/>
    <row r="82" outlineLevel="1" x14ac:dyDescent="0.2"/>
    <row r="83" outlineLevel="1" x14ac:dyDescent="0.2"/>
  </sheetData>
  <pageMargins left="0.7" right="0.7" top="0.75" bottom="0.75" header="0.3" footer="0.3"/>
  <pageSetup paperSize="9" scale="28" orientation="portrait" r:id="rId1"/>
  <customProperties>
    <customPr name="_pios_id" r:id="rId2"/>
    <customPr name="EpmWorksheetKeyString_GUID" r:id="rId3"/>
  </customProperties>
  <ignoredErrors>
    <ignoredError sqref="W31" formulaRange="1"/>
  </ignoredError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outlinePr showOutlineSymbols="0"/>
  </sheetPr>
  <dimension ref="B1:BW87"/>
  <sheetViews>
    <sheetView showGridLines="0" showOutlineSymbols="0" view="pageBreakPreview" zoomScaleNormal="100" zoomScaleSheetLayoutView="100" workbookViewId="0">
      <pane xSplit="3" ySplit="1" topLeftCell="G50" activePane="bottomRight" state="frozen"/>
      <selection activeCell="AF81" sqref="AF81"/>
      <selection pane="topRight" activeCell="AF81" sqref="AF81"/>
      <selection pane="bottomLeft" activeCell="AF81" sqref="AF81"/>
      <selection pane="bottomRight" activeCell="AF1" sqref="AF1:AH1048576"/>
    </sheetView>
  </sheetViews>
  <sheetFormatPr defaultColWidth="9.42578125" defaultRowHeight="12.75" outlineLevelRow="1" outlineLevelCol="7" x14ac:dyDescent="0.2"/>
  <cols>
    <col min="1" max="1" width="4" style="2" customWidth="1"/>
    <col min="2" max="2" width="64.5703125" style="2" customWidth="1"/>
    <col min="3" max="3" width="11.5703125" style="2" bestFit="1" customWidth="1"/>
    <col min="4" max="6" width="12.5703125" style="2" hidden="1" customWidth="1" outlineLevel="7"/>
    <col min="7" max="7" width="12.5703125" style="2" customWidth="1" outlineLevel="7"/>
    <col min="8" max="10" width="12.5703125" style="2" hidden="1" customWidth="1" outlineLevel="7"/>
    <col min="11" max="11" width="12.5703125" style="2" customWidth="1" outlineLevel="7"/>
    <col min="12" max="14" width="12.5703125" style="2" hidden="1" customWidth="1" outlineLevel="7"/>
    <col min="15" max="15" width="12.5703125" style="2" customWidth="1" outlineLevel="7"/>
    <col min="16" max="18" width="12.5703125" style="2" hidden="1" customWidth="1" outlineLevel="7"/>
    <col min="19" max="19" width="12.5703125" style="2" customWidth="1" outlineLevel="7"/>
    <col min="20" max="22" width="12.5703125" style="2" hidden="1" customWidth="1" outlineLevel="7"/>
    <col min="23" max="23" width="12.5703125" style="2" customWidth="1"/>
    <col min="24" max="24" width="10.5703125" style="2" hidden="1" customWidth="1"/>
    <col min="25" max="25" width="12" style="2" hidden="1" customWidth="1"/>
    <col min="26" max="26" width="14.42578125" style="2" hidden="1" customWidth="1"/>
    <col min="27" max="27" width="13.140625" style="2" customWidth="1"/>
    <col min="28" max="28" width="13.140625" style="2" hidden="1" customWidth="1"/>
    <col min="29" max="29" width="12.5703125" style="2" hidden="1" customWidth="1"/>
    <col min="30" max="30" width="14.85546875" style="2" hidden="1" customWidth="1"/>
    <col min="31" max="31" width="13.85546875" style="2" bestFit="1" customWidth="1"/>
    <col min="32" max="32" width="11.42578125" style="2" hidden="1" customWidth="1"/>
    <col min="33" max="34" width="13.5703125" style="2" hidden="1" customWidth="1"/>
    <col min="35" max="35" width="13.5703125" style="2" customWidth="1"/>
    <col min="36" max="36" width="13.42578125" style="2" customWidth="1"/>
    <col min="37" max="37" width="9.85546875" style="2" bestFit="1" customWidth="1"/>
    <col min="38" max="16384" width="9.42578125" style="2"/>
  </cols>
  <sheetData>
    <row r="1" spans="2:75" x14ac:dyDescent="0.2">
      <c r="B1" s="3"/>
      <c r="C1" s="3"/>
      <c r="D1" s="4" t="s">
        <v>105</v>
      </c>
      <c r="E1" s="4" t="s">
        <v>106</v>
      </c>
      <c r="F1" s="4" t="s">
        <v>107</v>
      </c>
      <c r="G1" s="5">
        <v>2018</v>
      </c>
      <c r="H1" s="5" t="s">
        <v>108</v>
      </c>
      <c r="I1" s="5" t="s">
        <v>109</v>
      </c>
      <c r="J1" s="5" t="s">
        <v>110</v>
      </c>
      <c r="K1" s="5">
        <v>2019</v>
      </c>
      <c r="L1" s="5" t="s">
        <v>111</v>
      </c>
      <c r="M1" s="5" t="s">
        <v>104</v>
      </c>
      <c r="N1" s="5" t="s">
        <v>112</v>
      </c>
      <c r="O1" s="5">
        <v>2020</v>
      </c>
      <c r="P1" s="5" t="s">
        <v>102</v>
      </c>
      <c r="Q1" s="5" t="s">
        <v>101</v>
      </c>
      <c r="R1" s="5" t="s">
        <v>103</v>
      </c>
      <c r="S1" s="5">
        <v>2021</v>
      </c>
      <c r="T1" s="5" t="s">
        <v>227</v>
      </c>
      <c r="U1" s="5" t="s">
        <v>273</v>
      </c>
      <c r="V1" s="5" t="s">
        <v>295</v>
      </c>
      <c r="W1" s="5">
        <v>2022</v>
      </c>
      <c r="X1" s="4" t="s">
        <v>319</v>
      </c>
      <c r="Y1" s="4" t="s">
        <v>321</v>
      </c>
      <c r="Z1" s="4" t="s">
        <v>323</v>
      </c>
      <c r="AA1" s="5">
        <v>2023</v>
      </c>
      <c r="AB1" s="5" t="s">
        <v>332</v>
      </c>
      <c r="AC1" s="5" t="s">
        <v>336</v>
      </c>
      <c r="AD1" s="5" t="s">
        <v>338</v>
      </c>
      <c r="AE1" s="5">
        <v>2024</v>
      </c>
      <c r="AF1" s="5" t="s">
        <v>347</v>
      </c>
      <c r="AG1" s="5" t="s">
        <v>352</v>
      </c>
      <c r="AH1" s="5" t="s">
        <v>361</v>
      </c>
      <c r="AI1" s="5">
        <v>2025</v>
      </c>
      <c r="AJ1" s="5" t="s">
        <v>368</v>
      </c>
    </row>
    <row r="2" spans="2:75" x14ac:dyDescent="0.2">
      <c r="D2" s="14"/>
      <c r="E2" s="14"/>
      <c r="F2" s="14"/>
      <c r="G2" s="14"/>
      <c r="H2" s="14"/>
      <c r="I2" s="15"/>
      <c r="J2" s="14"/>
      <c r="K2" s="14"/>
      <c r="L2" s="14"/>
      <c r="M2" s="14"/>
      <c r="N2" s="14"/>
      <c r="O2" s="14"/>
      <c r="P2" s="15"/>
      <c r="Q2" s="14"/>
      <c r="R2" s="14"/>
      <c r="S2" s="14"/>
      <c r="T2" s="14"/>
      <c r="U2" s="14"/>
      <c r="V2" s="14"/>
      <c r="W2" s="14"/>
      <c r="X2" s="14"/>
    </row>
    <row r="3" spans="2:75" x14ac:dyDescent="0.2">
      <c r="B3" s="7" t="s">
        <v>75</v>
      </c>
      <c r="C3" s="8"/>
      <c r="D3" s="4"/>
      <c r="E3" s="4"/>
      <c r="F3" s="4"/>
      <c r="G3" s="5"/>
      <c r="H3" s="4"/>
      <c r="I3" s="4"/>
      <c r="J3" s="4"/>
      <c r="K3" s="5"/>
      <c r="L3" s="4"/>
      <c r="M3" s="4"/>
      <c r="N3" s="4"/>
      <c r="O3" s="5"/>
      <c r="P3" s="4"/>
      <c r="Q3" s="4"/>
      <c r="R3" s="4"/>
      <c r="S3" s="5"/>
      <c r="T3" s="5"/>
      <c r="U3" s="5"/>
      <c r="V3" s="5"/>
      <c r="W3" s="128"/>
      <c r="X3" s="8"/>
      <c r="Y3" s="8"/>
      <c r="Z3" s="8"/>
      <c r="AA3" s="8"/>
      <c r="AB3" s="8"/>
      <c r="AC3" s="8"/>
      <c r="AD3" s="8"/>
      <c r="AE3" s="8"/>
      <c r="AF3" s="8"/>
      <c r="AG3" s="8"/>
      <c r="AH3" s="8"/>
      <c r="AI3" s="8"/>
      <c r="AJ3" s="8"/>
    </row>
    <row r="4" spans="2:75" outlineLevel="1" x14ac:dyDescent="0.2">
      <c r="D4" s="76"/>
      <c r="E4" s="76"/>
      <c r="F4" s="76"/>
      <c r="G4" s="76"/>
      <c r="H4" s="76"/>
      <c r="I4" s="76"/>
      <c r="J4" s="76"/>
      <c r="K4" s="76"/>
      <c r="L4" s="76"/>
      <c r="M4" s="76"/>
      <c r="N4" s="76"/>
      <c r="O4" s="76"/>
      <c r="P4" s="76"/>
      <c r="Q4" s="76"/>
      <c r="R4" s="76"/>
      <c r="S4" s="76"/>
      <c r="T4" s="76"/>
      <c r="U4" s="76"/>
      <c r="V4" s="76"/>
      <c r="W4" s="76"/>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2:75" outlineLevel="1" x14ac:dyDescent="0.2">
      <c r="B5" s="2" t="s">
        <v>99</v>
      </c>
      <c r="C5" s="68" t="s">
        <v>168</v>
      </c>
      <c r="D5" s="76" t="str">
        <f>'5. Operational &amp; Cost Metrics'!E5</f>
        <v>not disclosed</v>
      </c>
      <c r="E5" s="76">
        <f>'5. Operational &amp; Cost Metrics'!F5</f>
        <v>23.64</v>
      </c>
      <c r="F5" s="76" t="str">
        <f>'5. Operational &amp; Cost Metrics'!G5</f>
        <v>not disclosed</v>
      </c>
      <c r="G5" s="76">
        <f>'5. Operational &amp; Cost Metrics'!H5</f>
        <v>24.46</v>
      </c>
      <c r="H5" s="76" t="str">
        <f>'5. Operational &amp; Cost Metrics'!I5</f>
        <v>not disclosed</v>
      </c>
      <c r="I5" s="76">
        <f>'5. Operational &amp; Cost Metrics'!J5</f>
        <v>26.99</v>
      </c>
      <c r="J5" s="76" t="str">
        <f>'5. Operational &amp; Cost Metrics'!K5</f>
        <v>not disclosed</v>
      </c>
      <c r="K5" s="76">
        <f>'5. Operational &amp; Cost Metrics'!L5</f>
        <v>26.6</v>
      </c>
      <c r="L5" s="76" t="str">
        <f>'5. Operational &amp; Cost Metrics'!M5</f>
        <v>not disclosed</v>
      </c>
      <c r="M5" s="76">
        <f>'5. Operational &amp; Cost Metrics'!N5</f>
        <v>27.81</v>
      </c>
      <c r="N5" s="76" t="str">
        <f>'5. Operational &amp; Cost Metrics'!O5</f>
        <v>not disclosed</v>
      </c>
      <c r="O5" s="76">
        <f>'5. Operational &amp; Cost Metrics'!P5</f>
        <v>29.54</v>
      </c>
      <c r="P5" s="76" t="str">
        <f>'5. Operational &amp; Cost Metrics'!Q5</f>
        <v>not disclosed</v>
      </c>
      <c r="Q5" s="76">
        <f>'5. Operational &amp; Cost Metrics'!R5</f>
        <v>29.63</v>
      </c>
      <c r="R5" s="76">
        <f>'5. Operational &amp; Cost Metrics'!S5</f>
        <v>30.27</v>
      </c>
      <c r="S5" s="76">
        <f>'5. Operational &amp; Cost Metrics'!T5</f>
        <v>33.11</v>
      </c>
      <c r="T5" s="76">
        <f>'5. Operational &amp; Cost Metrics'!U5</f>
        <v>39.36</v>
      </c>
      <c r="U5" s="76">
        <f>'5. Operational &amp; Cost Metrics'!V5</f>
        <v>40.880000000000003</v>
      </c>
      <c r="V5" s="76">
        <f>'5. Operational &amp; Cost Metrics'!W5</f>
        <v>42.6</v>
      </c>
      <c r="W5" s="76">
        <f>'5. Operational &amp; Cost Metrics'!X5</f>
        <v>43.44</v>
      </c>
      <c r="X5" s="24">
        <f>'1.Income Statement'!X5</f>
        <v>46.75</v>
      </c>
      <c r="Y5" s="24">
        <f>'1.Income Statement'!Y5</f>
        <v>47.04</v>
      </c>
      <c r="Z5" s="24">
        <v>48.3</v>
      </c>
      <c r="AA5" s="24">
        <v>55.09</v>
      </c>
      <c r="AB5" s="24">
        <v>62.53</v>
      </c>
      <c r="AC5" s="24">
        <v>66.19</v>
      </c>
      <c r="AD5" s="24">
        <f>'1.Income Statement'!AD5</f>
        <v>66.81</v>
      </c>
      <c r="AE5" s="24">
        <f>'1.Income Statement'!AE5</f>
        <v>69.48</v>
      </c>
      <c r="AF5" s="209">
        <f>'1.Income Statement'!AF5</f>
        <v>54.71</v>
      </c>
      <c r="AG5" s="209">
        <f>'1.Income Statement'!AG5</f>
        <v>58.54</v>
      </c>
      <c r="AH5" s="209">
        <f>'1.Income Statement'!AH5</f>
        <v>62.97</v>
      </c>
      <c r="AI5" s="24">
        <f>'1.Income Statement'!AI5</f>
        <v>65.319999999999993</v>
      </c>
      <c r="AJ5" s="24">
        <f>'1.Income Statement'!AJ5</f>
        <v>61.33</v>
      </c>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row>
    <row r="6" spans="2:75" outlineLevel="1" x14ac:dyDescent="0.2">
      <c r="B6" s="68" t="s">
        <v>249</v>
      </c>
      <c r="C6" s="68" t="s">
        <v>168</v>
      </c>
      <c r="D6" s="76">
        <f>'5. Operational &amp; Cost Metrics'!E6</f>
        <v>23.1</v>
      </c>
      <c r="E6" s="76">
        <f>'5. Operational &amp; Cost Metrics'!F6</f>
        <v>24.29</v>
      </c>
      <c r="F6" s="76">
        <f>'5. Operational &amp; Cost Metrics'!G6</f>
        <v>21.11</v>
      </c>
      <c r="G6" s="76">
        <f>'5. Operational &amp; Cost Metrics'!H6</f>
        <v>24.37</v>
      </c>
      <c r="H6" s="76">
        <f>'5. Operational &amp; Cost Metrics'!I6</f>
        <v>26.78</v>
      </c>
      <c r="I6" s="76">
        <f>'5. Operational &amp; Cost Metrics'!J6</f>
        <v>27.43</v>
      </c>
      <c r="J6" s="76">
        <f>'5. Operational &amp; Cost Metrics'!K6</f>
        <v>27.59</v>
      </c>
      <c r="K6" s="76">
        <f>'5. Operational &amp; Cost Metrics'!L6</f>
        <v>26.89</v>
      </c>
      <c r="L6" s="76">
        <f>'5. Operational &amp; Cost Metrics'!M6</f>
        <v>26.43</v>
      </c>
      <c r="M6" s="76">
        <f>'5. Operational &amp; Cost Metrics'!N6</f>
        <v>27.86</v>
      </c>
      <c r="N6" s="76">
        <f>'5. Operational &amp; Cost Metrics'!O6</f>
        <v>29.58</v>
      </c>
      <c r="O6" s="76">
        <f>'5. Operational &amp; Cost Metrics'!P6</f>
        <v>29.63</v>
      </c>
      <c r="P6" s="76">
        <f>'5. Operational &amp; Cost Metrics'!Q6</f>
        <v>29.71</v>
      </c>
      <c r="Q6" s="76">
        <f>'5. Operational &amp; Cost Metrics'!R6</f>
        <v>29.63</v>
      </c>
      <c r="R6" s="76">
        <f>'5. Operational &amp; Cost Metrics'!S6</f>
        <v>29.99</v>
      </c>
      <c r="S6" s="76">
        <f>'5. Operational &amp; Cost Metrics'!T6</f>
        <v>32.33</v>
      </c>
      <c r="T6" s="76">
        <f>'5. Operational &amp; Cost Metrics'!U6</f>
        <v>37.74</v>
      </c>
      <c r="U6" s="76">
        <f>'5. Operational &amp; Cost Metrics'!V6</f>
        <v>39.700000000000003</v>
      </c>
      <c r="V6" s="76">
        <f>'5. Operational &amp; Cost Metrics'!W6</f>
        <v>41.98</v>
      </c>
      <c r="W6" s="76">
        <f>'5. Operational &amp; Cost Metrics'!X6</f>
        <v>42.5</v>
      </c>
      <c r="X6" s="84">
        <f>'1.Income Statement'!X6</f>
        <v>46.75</v>
      </c>
      <c r="Y6" s="24">
        <f>'1.Income Statement'!Y6</f>
        <v>46.63</v>
      </c>
      <c r="Z6" s="24">
        <v>47.81</v>
      </c>
      <c r="AA6" s="84">
        <v>52.1</v>
      </c>
      <c r="AB6" s="84">
        <v>56.15</v>
      </c>
      <c r="AC6" s="84">
        <v>62.47</v>
      </c>
      <c r="AD6" s="84">
        <f>'1.Income Statement'!AD6</f>
        <v>63.46</v>
      </c>
      <c r="AE6" s="84">
        <f>'1.Income Statement'!AE6</f>
        <v>65.78</v>
      </c>
      <c r="AF6" s="84">
        <f>'1.Income Statement'!AF6</f>
        <v>54.69</v>
      </c>
      <c r="AG6" s="84">
        <f>'1.Income Statement'!AG6</f>
        <v>57.27</v>
      </c>
      <c r="AH6" s="84">
        <f>'1.Income Statement'!AH6</f>
        <v>61.37</v>
      </c>
      <c r="AI6" s="24">
        <f>'1.Income Statement'!AI6</f>
        <v>62.33</v>
      </c>
      <c r="AJ6" s="24">
        <f>'1.Income Statement'!AJ6</f>
        <v>61.33</v>
      </c>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row>
    <row r="7" spans="2:75" outlineLevel="1" x14ac:dyDescent="0.2">
      <c r="B7" s="68" t="s">
        <v>206</v>
      </c>
      <c r="C7" s="68" t="s">
        <v>168</v>
      </c>
      <c r="D7" s="76">
        <f>'5. Operational &amp; Cost Metrics'!E7</f>
        <v>21.43</v>
      </c>
      <c r="E7" s="76">
        <f>'5. Operational &amp; Cost Metrics'!F7</f>
        <v>22.13</v>
      </c>
      <c r="F7" s="76">
        <f>'5. Operational &amp; Cost Metrics'!G7</f>
        <v>26.53</v>
      </c>
      <c r="G7" s="76">
        <f>'5. Operational &amp; Cost Metrics'!H7</f>
        <v>24.59</v>
      </c>
      <c r="H7" s="76">
        <f>'5. Operational &amp; Cost Metrics'!I7</f>
        <v>27.41</v>
      </c>
      <c r="I7" s="76">
        <f>'5. Operational &amp; Cost Metrics'!J7</f>
        <v>24.62</v>
      </c>
      <c r="J7" s="76">
        <f>'5. Operational &amp; Cost Metrics'!K7</f>
        <v>25.83</v>
      </c>
      <c r="K7" s="76">
        <f>'5. Operational &amp; Cost Metrics'!L7</f>
        <v>25.64</v>
      </c>
      <c r="L7" s="76">
        <f>'5. Operational &amp; Cost Metrics'!M7</f>
        <v>25.59</v>
      </c>
      <c r="M7" s="76">
        <f>'5. Operational &amp; Cost Metrics'!N7</f>
        <v>29.46</v>
      </c>
      <c r="N7" s="76">
        <f>'5. Operational &amp; Cost Metrics'!O7</f>
        <v>30</v>
      </c>
      <c r="O7" s="76">
        <f>'5. Operational &amp; Cost Metrics'!P7</f>
        <v>29.96</v>
      </c>
      <c r="P7" s="76">
        <f>'5. Operational &amp; Cost Metrics'!Q7</f>
        <v>29.12</v>
      </c>
      <c r="Q7" s="76">
        <f>'5. Operational &amp; Cost Metrics'!R7</f>
        <v>30.18</v>
      </c>
      <c r="R7" s="76">
        <f>'5. Operational &amp; Cost Metrics'!S7</f>
        <v>31.96</v>
      </c>
      <c r="S7" s="76">
        <f>'5. Operational &amp; Cost Metrics'!T7</f>
        <v>35.28</v>
      </c>
      <c r="T7" s="76">
        <f>'5. Operational &amp; Cost Metrics'!U7</f>
        <v>50.01</v>
      </c>
      <c r="U7" s="76">
        <f>'5. Operational &amp; Cost Metrics'!V7</f>
        <v>50.09</v>
      </c>
      <c r="V7" s="76">
        <f>'5. Operational &amp; Cost Metrics'!W7</f>
        <v>49.77</v>
      </c>
      <c r="W7" s="76">
        <f>'5. Operational &amp; Cost Metrics'!X7</f>
        <v>49.81</v>
      </c>
      <c r="X7" s="24">
        <v>50.68</v>
      </c>
      <c r="Y7" s="24">
        <f>'1.Income Statement'!Y7</f>
        <v>52.6</v>
      </c>
      <c r="Z7" s="24">
        <v>55.94</v>
      </c>
      <c r="AA7" s="182">
        <v>62.51</v>
      </c>
      <c r="AB7" s="182">
        <v>94.33</v>
      </c>
      <c r="AC7" s="182">
        <v>91.1</v>
      </c>
      <c r="AD7" s="182">
        <f>'1.Income Statement'!AD7</f>
        <v>87.93</v>
      </c>
      <c r="AE7" s="182">
        <f>'1.Income Statement'!AE7</f>
        <v>85.14</v>
      </c>
      <c r="AF7" s="182">
        <f>'1.Income Statement'!AF7</f>
        <v>66.180000000000007</v>
      </c>
      <c r="AG7" s="182">
        <f>'1.Income Statement'!AG7</f>
        <v>69.38</v>
      </c>
      <c r="AH7" s="182">
        <f>'1.Income Statement'!AH7</f>
        <v>71.680000000000007</v>
      </c>
      <c r="AI7" s="24">
        <f>'1.Income Statement'!AI7</f>
        <v>73.540000000000006</v>
      </c>
      <c r="AJ7" s="24">
        <f>'1.Income Statement'!AJ7</f>
        <v>88.49</v>
      </c>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row>
    <row r="8" spans="2:75" outlineLevel="1" x14ac:dyDescent="0.2">
      <c r="B8" s="2" t="s">
        <v>304</v>
      </c>
      <c r="C8" s="68" t="s">
        <v>168</v>
      </c>
      <c r="D8" s="76"/>
      <c r="E8" s="164" t="str">
        <f>'5. Operational &amp; Cost Metrics'!F8</f>
        <v>not disclosed</v>
      </c>
      <c r="F8" s="76"/>
      <c r="G8" s="76">
        <f>'5. Operational &amp; Cost Metrics'!H8</f>
        <v>24.64</v>
      </c>
      <c r="H8" s="76"/>
      <c r="I8" s="76">
        <f>'5. Operational &amp; Cost Metrics'!J8</f>
        <v>26.47</v>
      </c>
      <c r="J8" s="76"/>
      <c r="K8" s="76">
        <f>'5. Operational &amp; Cost Metrics'!L8</f>
        <v>25.84</v>
      </c>
      <c r="L8" s="76"/>
      <c r="M8" s="76">
        <f>'5. Operational &amp; Cost Metrics'!N8</f>
        <v>28.66</v>
      </c>
      <c r="N8" s="76"/>
      <c r="O8" s="76">
        <f>'5. Operational &amp; Cost Metrics'!P8</f>
        <v>29.6</v>
      </c>
      <c r="P8" s="76"/>
      <c r="Q8" s="125" t="str">
        <f>'5. Operational &amp; Cost Metrics'!R8</f>
        <v>29.95</v>
      </c>
      <c r="R8" s="76"/>
      <c r="S8" s="76">
        <f>'5. Operational &amp; Cost Metrics'!T8</f>
        <v>35.049999999999997</v>
      </c>
      <c r="T8" s="76"/>
      <c r="U8" s="76">
        <f>'5. Operational &amp; Cost Metrics'!V8</f>
        <v>50.31</v>
      </c>
      <c r="V8" s="76"/>
      <c r="W8" s="76">
        <f>'5. Operational &amp; Cost Metrics'!X8</f>
        <v>49.61</v>
      </c>
      <c r="X8" s="24"/>
      <c r="Y8" s="24">
        <f>'1.Income Statement'!Y8</f>
        <v>52.16</v>
      </c>
      <c r="Z8" s="24"/>
      <c r="AA8" s="24">
        <v>60.53</v>
      </c>
      <c r="AB8" s="24"/>
      <c r="AC8" s="24">
        <v>92.62</v>
      </c>
      <c r="AD8" s="24"/>
      <c r="AE8" s="24">
        <f>'1.Income Statement'!AE8</f>
        <v>86.28</v>
      </c>
      <c r="AF8" s="24"/>
      <c r="AG8" s="24">
        <f>'1.Income Statement'!AG8</f>
        <v>69.11</v>
      </c>
      <c r="AH8" s="24"/>
      <c r="AI8" s="24">
        <f>'1.Income Statement'!AI8</f>
        <v>72.75</v>
      </c>
      <c r="AJ8" s="24">
        <f>'1.Income Statement'!AJ8</f>
        <v>0</v>
      </c>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row>
    <row r="9" spans="2:75" outlineLevel="1" x14ac:dyDescent="0.2">
      <c r="B9" s="68" t="s">
        <v>73</v>
      </c>
      <c r="C9" s="68" t="s">
        <v>248</v>
      </c>
      <c r="D9" s="2">
        <f>'5. Operational &amp; Cost Metrics'!E9</f>
        <v>323.31</v>
      </c>
      <c r="E9" s="2">
        <f>'5. Operational &amp; Cost Metrics'!F9</f>
        <v>326.49</v>
      </c>
      <c r="F9" s="2">
        <f>'5. Operational &amp; Cost Metrics'!G9</f>
        <v>336.4</v>
      </c>
      <c r="G9" s="2">
        <f>'5. Operational &amp; Cost Metrics'!H9</f>
        <v>344.9</v>
      </c>
      <c r="H9" s="2">
        <f>'5. Operational &amp; Cost Metrics'!I9</f>
        <v>378.09</v>
      </c>
      <c r="I9" s="2">
        <f>'5. Operational &amp; Cost Metrics'!J9</f>
        <v>379.31</v>
      </c>
      <c r="J9" s="2">
        <f>'5. Operational &amp; Cost Metrics'!K9</f>
        <v>381.51</v>
      </c>
      <c r="K9" s="2">
        <f>'5. Operational &amp; Cost Metrics'!L9</f>
        <v>382.87</v>
      </c>
      <c r="L9" s="2">
        <f>'5. Operational &amp; Cost Metrics'!M9</f>
        <v>391.01</v>
      </c>
      <c r="M9" s="2">
        <f>'5. Operational &amp; Cost Metrics'!N9</f>
        <v>404.59</v>
      </c>
      <c r="N9" s="2">
        <f>'5. Operational &amp; Cost Metrics'!O9</f>
        <v>409.05</v>
      </c>
      <c r="O9" s="2">
        <f>'5. Operational &amp; Cost Metrics'!P9</f>
        <v>413.36</v>
      </c>
      <c r="P9" s="2">
        <f>'5. Operational &amp; Cost Metrics'!Q9</f>
        <v>419.89</v>
      </c>
      <c r="Q9" s="2">
        <f>'5. Operational &amp; Cost Metrics'!R9</f>
        <v>424.18</v>
      </c>
      <c r="R9" s="2">
        <f>'5. Operational &amp; Cost Metrics'!S9</f>
        <v>424.69</v>
      </c>
      <c r="S9" s="2">
        <f>'5. Operational &amp; Cost Metrics'!T9</f>
        <v>426.03</v>
      </c>
      <c r="T9" s="76">
        <f>'5. Operational &amp; Cost Metrics'!U9</f>
        <v>457.02</v>
      </c>
      <c r="U9" s="76">
        <f>'5. Operational &amp; Cost Metrics'!V9</f>
        <v>449.85</v>
      </c>
      <c r="V9" s="76">
        <f>'5. Operational &amp; Cost Metrics'!W9</f>
        <v>458.44</v>
      </c>
      <c r="W9" s="76">
        <f>'5. Operational &amp; Cost Metrics'!X9</f>
        <v>460.48</v>
      </c>
      <c r="X9" s="24">
        <v>454.94</v>
      </c>
      <c r="Y9" s="24">
        <f>'1.Income Statement'!Y9</f>
        <v>451.86</v>
      </c>
      <c r="Z9" s="183">
        <f>'1.Income Statement'!Z9</f>
        <v>452.93</v>
      </c>
      <c r="AA9" s="183">
        <f>'1.Income Statement'!AA9</f>
        <v>456.24</v>
      </c>
      <c r="AB9" s="183">
        <f>'1.Income Statement'!AB9</f>
        <v>450.27</v>
      </c>
      <c r="AC9" s="183">
        <f>'1.Income Statement'!AC9</f>
        <v>449</v>
      </c>
      <c r="AD9" s="183">
        <f>'1.Income Statement'!AD9</f>
        <v>458.69</v>
      </c>
      <c r="AE9" s="183">
        <f>'1.Income Statement'!AE9</f>
        <v>469.11</v>
      </c>
      <c r="AF9" s="210">
        <f>'1.Income Statement'!AF9</f>
        <v>510.28</v>
      </c>
      <c r="AG9" s="210">
        <f>'1.Income Statement'!AG9</f>
        <v>512.08000000000004</v>
      </c>
      <c r="AH9" s="210">
        <f>'1.Income Statement'!AH9</f>
        <v>520.21</v>
      </c>
      <c r="AI9" s="24">
        <f>'1.Income Statement'!AI9</f>
        <v>521.37</v>
      </c>
      <c r="AJ9" s="24">
        <f>'1.Income Statement'!AJ9</f>
        <v>497.39</v>
      </c>
    </row>
    <row r="10" spans="2:75" ht="15" outlineLevel="1" x14ac:dyDescent="0.25">
      <c r="B10" s="147" t="s">
        <v>72</v>
      </c>
      <c r="C10" s="147" t="s">
        <v>248</v>
      </c>
      <c r="D10" s="6">
        <f>'5. Operational &amp; Cost Metrics'!E10</f>
        <v>318.31</v>
      </c>
      <c r="E10" s="6">
        <f>'5. Operational &amp; Cost Metrics'!F10</f>
        <v>341.08</v>
      </c>
      <c r="F10" s="6">
        <f>'5. Operational &amp; Cost Metrics'!G10</f>
        <v>363.07</v>
      </c>
      <c r="G10" s="6">
        <f>'5. Operational &amp; Cost Metrics'!H10</f>
        <v>384.2</v>
      </c>
      <c r="H10" s="6">
        <f>'5. Operational &amp; Cost Metrics'!I10</f>
        <v>380.04</v>
      </c>
      <c r="I10" s="6">
        <f>'5. Operational &amp; Cost Metrics'!J10</f>
        <v>380.53</v>
      </c>
      <c r="J10" s="6">
        <f>'5. Operational &amp; Cost Metrics'!K10</f>
        <v>387.63</v>
      </c>
      <c r="K10" s="6">
        <f>'5. Operational &amp; Cost Metrics'!L10</f>
        <v>381.18</v>
      </c>
      <c r="L10" s="6">
        <f>'5. Operational &amp; Cost Metrics'!M10</f>
        <v>448.01</v>
      </c>
      <c r="M10" s="6">
        <f>'5. Operational &amp; Cost Metrics'!N10</f>
        <v>403.83</v>
      </c>
      <c r="N10" s="6">
        <f>'5. Operational &amp; Cost Metrics'!O10</f>
        <v>429.51</v>
      </c>
      <c r="O10" s="6">
        <f>'5. Operational &amp; Cost Metrics'!P10</f>
        <v>420.71</v>
      </c>
      <c r="P10" s="6">
        <f>'5. Operational &amp; Cost Metrics'!Q10</f>
        <v>424.34</v>
      </c>
      <c r="Q10" s="6">
        <f>'5. Operational &amp; Cost Metrics'!R10</f>
        <v>427.79</v>
      </c>
      <c r="R10" s="6">
        <f>'5. Operational &amp; Cost Metrics'!S10</f>
        <v>425.67</v>
      </c>
      <c r="S10" s="6">
        <f>'5. Operational &amp; Cost Metrics'!T10</f>
        <v>431.67</v>
      </c>
      <c r="T10" s="6">
        <f>'5. Operational &amp; Cost Metrics'!U10</f>
        <v>458.2</v>
      </c>
      <c r="U10" s="6">
        <f>'5. Operational &amp; Cost Metrics'!V10</f>
        <v>465.08</v>
      </c>
      <c r="V10" s="6">
        <f>'5. Operational &amp; Cost Metrics'!W10</f>
        <v>476.89</v>
      </c>
      <c r="W10" s="6">
        <f>'5. Operational &amp; Cost Metrics'!X10</f>
        <v>462.65</v>
      </c>
      <c r="X10" s="32">
        <v>448.05</v>
      </c>
      <c r="Y10" s="32">
        <f>'1.Income Statement'!Y10</f>
        <v>454.13</v>
      </c>
      <c r="Z10" s="32">
        <v>474.74</v>
      </c>
      <c r="AA10" s="75" t="s">
        <v>324</v>
      </c>
      <c r="AB10" s="75">
        <v>446.78</v>
      </c>
      <c r="AC10" s="150">
        <v>471.46</v>
      </c>
      <c r="AD10" s="150">
        <f>'1.Income Statement'!AD10</f>
        <v>479.23</v>
      </c>
      <c r="AE10" s="150">
        <f>'1.Income Statement'!AE10</f>
        <v>523.54</v>
      </c>
      <c r="AF10" s="150">
        <f>'1.Income Statement'!AF10</f>
        <v>504.44</v>
      </c>
      <c r="AG10" s="150">
        <f>'1.Income Statement'!AG10</f>
        <v>520.39</v>
      </c>
      <c r="AH10" s="150">
        <f>'1.Income Statement'!AH10</f>
        <v>548.79</v>
      </c>
      <c r="AI10" s="24">
        <f>'1.Income Statement'!AI10</f>
        <v>502.57</v>
      </c>
      <c r="AJ10" s="24">
        <f>'1.Income Statement'!AJ10</f>
        <v>481.54</v>
      </c>
      <c r="AK10"/>
    </row>
    <row r="11" spans="2:75" ht="15" outlineLevel="1" x14ac:dyDescent="0.25">
      <c r="B11" s="124" t="s">
        <v>301</v>
      </c>
      <c r="X11" s="24"/>
      <c r="Y11" s="24"/>
      <c r="Z11" s="24"/>
      <c r="AA11" s="55"/>
      <c r="AB11" s="55"/>
      <c r="AJ11"/>
      <c r="AK11"/>
    </row>
    <row r="12" spans="2:75" ht="15" x14ac:dyDescent="0.25">
      <c r="X12" s="24"/>
      <c r="Y12" s="24"/>
      <c r="Z12" s="24"/>
      <c r="AB12" s="84"/>
      <c r="AJ12"/>
      <c r="AK12"/>
    </row>
    <row r="13" spans="2:75" ht="15" x14ac:dyDescent="0.25">
      <c r="B13" s="7" t="s">
        <v>23</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row>
    <row r="14" spans="2:75" ht="15" x14ac:dyDescent="0.25">
      <c r="AD14"/>
      <c r="AE14"/>
      <c r="AF14"/>
      <c r="AG14"/>
      <c r="AH14"/>
      <c r="AI14"/>
      <c r="AJ14"/>
      <c r="AK14"/>
    </row>
    <row r="15" spans="2:75" ht="15" x14ac:dyDescent="0.25">
      <c r="B15" s="30" t="s">
        <v>24</v>
      </c>
      <c r="C15" s="24"/>
      <c r="D15" s="24"/>
      <c r="E15" s="24"/>
      <c r="F15" s="24"/>
      <c r="G15" s="24"/>
      <c r="H15" s="24"/>
      <c r="I15" s="24"/>
      <c r="J15" s="24"/>
      <c r="K15" s="24"/>
      <c r="L15" s="24"/>
      <c r="M15" s="24"/>
      <c r="N15" s="24"/>
      <c r="O15" s="24"/>
      <c r="P15" s="24"/>
      <c r="Q15" s="24"/>
      <c r="R15" s="24"/>
      <c r="S15" s="24"/>
      <c r="T15" s="24"/>
      <c r="U15" s="24"/>
      <c r="V15" s="24"/>
      <c r="W15" s="24"/>
      <c r="X15" s="24"/>
      <c r="AD15"/>
      <c r="AE15"/>
      <c r="AF15"/>
      <c r="AG15"/>
      <c r="AH15"/>
      <c r="AI15"/>
      <c r="AJ15"/>
      <c r="AK15"/>
    </row>
    <row r="16" spans="2:75" ht="15" outlineLevel="1" x14ac:dyDescent="0.25">
      <c r="B16" s="30" t="s">
        <v>25</v>
      </c>
      <c r="C16" s="24"/>
      <c r="D16" s="24"/>
      <c r="E16" s="24"/>
      <c r="F16" s="24"/>
      <c r="G16" s="24"/>
      <c r="H16" s="24"/>
      <c r="I16" s="29"/>
      <c r="J16" s="24"/>
      <c r="K16" s="24"/>
      <c r="L16" s="24"/>
      <c r="M16" s="24"/>
      <c r="N16" s="24"/>
      <c r="O16" s="24"/>
      <c r="P16" s="24"/>
      <c r="Q16" s="24"/>
      <c r="R16" s="24"/>
      <c r="S16" s="24"/>
      <c r="T16" s="24"/>
      <c r="U16" s="24"/>
      <c r="V16" s="24"/>
      <c r="W16" s="24"/>
      <c r="X16" s="29"/>
      <c r="AD16"/>
      <c r="AE16"/>
      <c r="AF16"/>
      <c r="AG16"/>
      <c r="AH16"/>
      <c r="AI16"/>
      <c r="AJ16"/>
      <c r="AK16"/>
    </row>
    <row r="17" spans="2:37" s="9" customFormat="1" ht="15" outlineLevel="1" x14ac:dyDescent="0.25">
      <c r="B17" s="57" t="s">
        <v>26</v>
      </c>
      <c r="C17" s="57" t="s">
        <v>18</v>
      </c>
      <c r="D17" s="58"/>
      <c r="E17" s="58">
        <v>134685</v>
      </c>
      <c r="F17" s="58" t="s">
        <v>100</v>
      </c>
      <c r="G17" s="58">
        <v>176389</v>
      </c>
      <c r="H17" s="58">
        <v>169066</v>
      </c>
      <c r="I17" s="58">
        <v>172851</v>
      </c>
      <c r="J17" s="58">
        <v>172695</v>
      </c>
      <c r="K17" s="58">
        <v>179453</v>
      </c>
      <c r="L17" s="58">
        <v>176861</v>
      </c>
      <c r="M17" s="58">
        <v>174838</v>
      </c>
      <c r="N17" s="58">
        <v>174874</v>
      </c>
      <c r="O17" s="58">
        <v>172747</v>
      </c>
      <c r="P17" s="58">
        <v>166434</v>
      </c>
      <c r="Q17" s="58">
        <v>164974</v>
      </c>
      <c r="R17" s="58">
        <v>165855</v>
      </c>
      <c r="S17" s="58">
        <v>171487</v>
      </c>
      <c r="T17" s="59">
        <v>170674</v>
      </c>
      <c r="U17" s="59">
        <v>170134</v>
      </c>
      <c r="V17" s="59">
        <v>172539</v>
      </c>
      <c r="W17" s="59">
        <v>188300</v>
      </c>
      <c r="X17" s="59">
        <v>186721</v>
      </c>
      <c r="Y17" s="59">
        <v>188982</v>
      </c>
      <c r="Z17" s="59">
        <v>191951</v>
      </c>
      <c r="AA17" s="59">
        <v>195447</v>
      </c>
      <c r="AB17" s="59">
        <v>198277</v>
      </c>
      <c r="AC17" s="59">
        <v>201261</v>
      </c>
      <c r="AD17" s="59">
        <v>207555</v>
      </c>
      <c r="AE17" s="59">
        <v>226432</v>
      </c>
      <c r="AF17" s="59">
        <v>226517</v>
      </c>
      <c r="AG17" s="59">
        <v>231118</v>
      </c>
      <c r="AH17" s="59">
        <v>243447</v>
      </c>
      <c r="AI17" s="59">
        <v>271576</v>
      </c>
      <c r="AJ17" s="220">
        <v>280230</v>
      </c>
      <c r="AK17"/>
    </row>
    <row r="18" spans="2:37" ht="15" outlineLevel="1" x14ac:dyDescent="0.25">
      <c r="B18" s="57" t="s">
        <v>68</v>
      </c>
      <c r="C18" s="57" t="s">
        <v>18</v>
      </c>
      <c r="D18" s="58"/>
      <c r="E18" s="58">
        <v>102762</v>
      </c>
      <c r="F18" s="58" t="s">
        <v>100</v>
      </c>
      <c r="G18" s="58">
        <v>121076</v>
      </c>
      <c r="H18" s="58">
        <v>136202</v>
      </c>
      <c r="I18" s="58">
        <v>140549</v>
      </c>
      <c r="J18" s="58">
        <v>141556</v>
      </c>
      <c r="K18" s="58">
        <v>140740</v>
      </c>
      <c r="L18" s="58">
        <v>138815</v>
      </c>
      <c r="M18" s="58">
        <v>134745</v>
      </c>
      <c r="N18" s="58">
        <v>131557</v>
      </c>
      <c r="O18" s="58">
        <v>128319</v>
      </c>
      <c r="P18" s="58">
        <v>126827</v>
      </c>
      <c r="Q18" s="58">
        <v>127291</v>
      </c>
      <c r="R18" s="58">
        <v>126725</v>
      </c>
      <c r="S18" s="58">
        <v>138673</v>
      </c>
      <c r="T18" s="59">
        <v>139648</v>
      </c>
      <c r="U18" s="59">
        <v>144550</v>
      </c>
      <c r="V18" s="59">
        <v>151104</v>
      </c>
      <c r="W18" s="59">
        <v>162174</v>
      </c>
      <c r="X18" s="59">
        <v>166807</v>
      </c>
      <c r="Y18" s="59">
        <v>173652</v>
      </c>
      <c r="Z18" s="59">
        <v>181772</v>
      </c>
      <c r="AA18" s="59">
        <v>187216</v>
      </c>
      <c r="AB18" s="59">
        <v>220715</v>
      </c>
      <c r="AC18" s="59">
        <v>248664</v>
      </c>
      <c r="AD18" s="59">
        <v>268975</v>
      </c>
      <c r="AE18" s="59">
        <v>290708</v>
      </c>
      <c r="AF18" s="59">
        <v>307069</v>
      </c>
      <c r="AG18" s="59">
        <v>321914</v>
      </c>
      <c r="AH18" s="59">
        <v>340874</v>
      </c>
      <c r="AI18" s="59">
        <v>368159</v>
      </c>
      <c r="AJ18" s="220">
        <v>383308</v>
      </c>
      <c r="AK18"/>
    </row>
    <row r="19" spans="2:37" ht="15" outlineLevel="1" x14ac:dyDescent="0.25">
      <c r="B19" s="57" t="s">
        <v>69</v>
      </c>
      <c r="C19" s="57" t="s">
        <v>18</v>
      </c>
      <c r="D19" s="58"/>
      <c r="E19" s="58">
        <v>161130</v>
      </c>
      <c r="F19" s="58" t="s">
        <v>100</v>
      </c>
      <c r="G19" s="58">
        <v>452439</v>
      </c>
      <c r="H19" s="58">
        <v>361301</v>
      </c>
      <c r="I19" s="58">
        <v>619127</v>
      </c>
      <c r="J19" s="58">
        <v>611218</v>
      </c>
      <c r="K19" s="58">
        <v>603042</v>
      </c>
      <c r="L19" s="58">
        <v>596439</v>
      </c>
      <c r="M19" s="58">
        <v>589479</v>
      </c>
      <c r="N19" s="58">
        <v>583191</v>
      </c>
      <c r="O19" s="58">
        <v>577511</v>
      </c>
      <c r="P19" s="58">
        <v>571220</v>
      </c>
      <c r="Q19" s="58">
        <v>566538</v>
      </c>
      <c r="R19" s="58">
        <v>559394</v>
      </c>
      <c r="S19" s="58">
        <v>552957</v>
      </c>
      <c r="T19" s="59">
        <v>546456</v>
      </c>
      <c r="U19" s="59">
        <v>539775</v>
      </c>
      <c r="V19" s="59">
        <v>533015</v>
      </c>
      <c r="W19" s="59">
        <v>525140</v>
      </c>
      <c r="X19" s="59">
        <v>519054</v>
      </c>
      <c r="Y19" s="59">
        <v>511883</v>
      </c>
      <c r="Z19" s="59">
        <v>504712</v>
      </c>
      <c r="AA19" s="59">
        <v>496249</v>
      </c>
      <c r="AB19" s="59">
        <v>500378</v>
      </c>
      <c r="AC19" s="59">
        <v>493541</v>
      </c>
      <c r="AD19" s="59">
        <v>1180623</v>
      </c>
      <c r="AE19" s="59">
        <v>1170206</v>
      </c>
      <c r="AF19" s="59">
        <v>1160208</v>
      </c>
      <c r="AG19" s="59">
        <v>1149480</v>
      </c>
      <c r="AH19" s="59">
        <v>1139177</v>
      </c>
      <c r="AI19" s="59">
        <v>1126561</v>
      </c>
      <c r="AJ19" s="220">
        <v>1121265</v>
      </c>
      <c r="AK19"/>
    </row>
    <row r="20" spans="2:37" ht="15" outlineLevel="1" x14ac:dyDescent="0.25">
      <c r="B20" s="57" t="s">
        <v>70</v>
      </c>
      <c r="C20" s="57" t="s">
        <v>18</v>
      </c>
      <c r="D20" s="58"/>
      <c r="E20" s="58">
        <v>6610</v>
      </c>
      <c r="F20" s="58" t="s">
        <v>100</v>
      </c>
      <c r="G20" s="58">
        <v>23609</v>
      </c>
      <c r="H20" s="58">
        <v>22123</v>
      </c>
      <c r="I20" s="58">
        <v>24191</v>
      </c>
      <c r="J20" s="58">
        <v>24646</v>
      </c>
      <c r="K20" s="58">
        <v>22927</v>
      </c>
      <c r="L20" s="58">
        <v>23178</v>
      </c>
      <c r="M20" s="58">
        <v>23325</v>
      </c>
      <c r="N20" s="58">
        <v>23630</v>
      </c>
      <c r="O20" s="58">
        <v>22945</v>
      </c>
      <c r="P20" s="58">
        <v>22991</v>
      </c>
      <c r="Q20" s="58">
        <v>23354</v>
      </c>
      <c r="R20" s="58">
        <v>24176</v>
      </c>
      <c r="S20" s="58">
        <v>24378</v>
      </c>
      <c r="T20" s="59">
        <v>25143</v>
      </c>
      <c r="U20" s="59">
        <v>25797</v>
      </c>
      <c r="V20" s="59">
        <v>26208</v>
      </c>
      <c r="W20" s="59">
        <v>26543</v>
      </c>
      <c r="X20" s="59">
        <v>27290</v>
      </c>
      <c r="Y20" s="59">
        <v>28148</v>
      </c>
      <c r="Z20" s="59">
        <v>28819</v>
      </c>
      <c r="AA20" s="59">
        <v>26019</v>
      </c>
      <c r="AB20" s="59">
        <v>27752</v>
      </c>
      <c r="AC20" s="59">
        <v>13033</v>
      </c>
      <c r="AD20" s="59">
        <v>13144</v>
      </c>
      <c r="AE20" s="59">
        <v>14792</v>
      </c>
      <c r="AF20" s="59">
        <v>15382</v>
      </c>
      <c r="AG20" s="59">
        <v>16437</v>
      </c>
      <c r="AH20" s="59">
        <v>18388</v>
      </c>
      <c r="AI20" s="59">
        <v>21220</v>
      </c>
      <c r="AJ20" s="220">
        <v>23233</v>
      </c>
      <c r="AK20"/>
    </row>
    <row r="21" spans="2:37" ht="15" outlineLevel="1" x14ac:dyDescent="0.25">
      <c r="B21" s="57" t="s">
        <v>27</v>
      </c>
      <c r="C21" s="57" t="s">
        <v>18</v>
      </c>
      <c r="D21" s="58"/>
      <c r="E21" s="58">
        <v>8736</v>
      </c>
      <c r="F21" s="58" t="s">
        <v>100</v>
      </c>
      <c r="G21" s="58">
        <v>54099</v>
      </c>
      <c r="H21" s="58">
        <v>70250</v>
      </c>
      <c r="I21" s="58">
        <v>54162</v>
      </c>
      <c r="J21" s="58">
        <v>54658</v>
      </c>
      <c r="K21" s="58">
        <v>54697</v>
      </c>
      <c r="L21" s="58">
        <v>54477</v>
      </c>
      <c r="M21" s="58">
        <v>54369</v>
      </c>
      <c r="N21" s="58">
        <v>56058</v>
      </c>
      <c r="O21" s="58">
        <v>59906</v>
      </c>
      <c r="P21" s="58">
        <v>59570</v>
      </c>
      <c r="Q21" s="58">
        <v>59947</v>
      </c>
      <c r="R21" s="58">
        <v>59918</v>
      </c>
      <c r="S21" s="58">
        <v>58940</v>
      </c>
      <c r="T21" s="59">
        <v>58808</v>
      </c>
      <c r="U21" s="59">
        <v>58566</v>
      </c>
      <c r="V21" s="59">
        <v>58562</v>
      </c>
      <c r="W21" s="59">
        <v>59159</v>
      </c>
      <c r="X21" s="59">
        <v>59281</v>
      </c>
      <c r="Y21" s="59">
        <v>59285</v>
      </c>
      <c r="Z21" s="59">
        <v>59166</v>
      </c>
      <c r="AA21" s="59">
        <v>60156</v>
      </c>
      <c r="AB21" s="59">
        <v>59883</v>
      </c>
      <c r="AC21" s="59">
        <v>59909</v>
      </c>
      <c r="AD21" s="59">
        <v>60501</v>
      </c>
      <c r="AE21" s="59">
        <v>61253</v>
      </c>
      <c r="AF21" s="59">
        <v>61391</v>
      </c>
      <c r="AG21" s="59">
        <v>61085</v>
      </c>
      <c r="AH21" s="59">
        <v>60751</v>
      </c>
      <c r="AI21" s="59">
        <v>61584</v>
      </c>
      <c r="AJ21" s="220">
        <v>61308</v>
      </c>
      <c r="AK21"/>
    </row>
    <row r="22" spans="2:37" ht="15" outlineLevel="1" x14ac:dyDescent="0.25">
      <c r="B22" s="24" t="s">
        <v>125</v>
      </c>
      <c r="C22" s="24" t="s">
        <v>18</v>
      </c>
      <c r="D22" s="59"/>
      <c r="E22" s="59" t="s">
        <v>100</v>
      </c>
      <c r="F22" s="59" t="s">
        <v>100</v>
      </c>
      <c r="G22" s="59" t="s">
        <v>100</v>
      </c>
      <c r="H22" s="59" t="s">
        <v>100</v>
      </c>
      <c r="I22" s="59">
        <v>1670</v>
      </c>
      <c r="J22" s="59">
        <v>1610</v>
      </c>
      <c r="K22" s="59">
        <v>1640</v>
      </c>
      <c r="L22" s="59">
        <v>1222</v>
      </c>
      <c r="M22" s="59">
        <v>1093</v>
      </c>
      <c r="N22" s="59">
        <v>1041</v>
      </c>
      <c r="O22" s="58" t="s">
        <v>100</v>
      </c>
      <c r="P22" s="59">
        <v>939</v>
      </c>
      <c r="Q22" s="59">
        <v>902</v>
      </c>
      <c r="R22" s="59" t="s">
        <v>100</v>
      </c>
      <c r="S22" s="59">
        <v>838</v>
      </c>
      <c r="T22" s="59">
        <v>159</v>
      </c>
      <c r="U22" s="59">
        <v>159</v>
      </c>
      <c r="V22" s="59">
        <v>179</v>
      </c>
      <c r="W22" s="59"/>
      <c r="X22" s="59"/>
      <c r="Y22" s="59"/>
      <c r="Z22" s="59"/>
      <c r="AA22" s="59"/>
      <c r="AB22" s="59"/>
      <c r="AC22" s="59"/>
      <c r="AD22" s="59"/>
      <c r="AE22" s="59"/>
      <c r="AF22" s="59"/>
      <c r="AJ22"/>
      <c r="AK22"/>
    </row>
    <row r="23" spans="2:37" ht="15" outlineLevel="1" x14ac:dyDescent="0.25">
      <c r="B23" s="57" t="s">
        <v>29</v>
      </c>
      <c r="C23" s="57" t="s">
        <v>18</v>
      </c>
      <c r="D23" s="58"/>
      <c r="E23" s="58">
        <v>62231</v>
      </c>
      <c r="F23" s="58" t="s">
        <v>100</v>
      </c>
      <c r="G23" s="58">
        <v>107434</v>
      </c>
      <c r="H23" s="58">
        <v>72786</v>
      </c>
      <c r="I23" s="58">
        <v>76800</v>
      </c>
      <c r="J23" s="58">
        <v>82306</v>
      </c>
      <c r="K23" s="58">
        <v>90943</v>
      </c>
      <c r="L23" s="58">
        <v>76118</v>
      </c>
      <c r="M23" s="58">
        <v>85819</v>
      </c>
      <c r="N23" s="58">
        <v>97734</v>
      </c>
      <c r="O23" s="58">
        <v>84626</v>
      </c>
      <c r="P23" s="58">
        <v>85009</v>
      </c>
      <c r="Q23" s="58">
        <v>84145</v>
      </c>
      <c r="R23" s="58">
        <v>84412</v>
      </c>
      <c r="S23" s="58">
        <v>116892</v>
      </c>
      <c r="T23" s="59">
        <v>125265</v>
      </c>
      <c r="U23" s="59">
        <v>100221</v>
      </c>
      <c r="V23" s="59">
        <v>130098</v>
      </c>
      <c r="W23" s="59">
        <v>154124</v>
      </c>
      <c r="X23" s="59">
        <v>174546</v>
      </c>
      <c r="Y23" s="59">
        <v>124547</v>
      </c>
      <c r="Z23" s="59">
        <v>121920</v>
      </c>
      <c r="AA23" s="59">
        <v>152266</v>
      </c>
      <c r="AB23" s="59">
        <v>149836</v>
      </c>
      <c r="AC23" s="59">
        <v>176250</v>
      </c>
      <c r="AD23" s="59">
        <v>214248</v>
      </c>
      <c r="AE23" s="59">
        <v>218219</v>
      </c>
      <c r="AF23" s="59">
        <v>222793</v>
      </c>
      <c r="AG23" s="59">
        <v>172448</v>
      </c>
      <c r="AH23" s="59">
        <v>221601</v>
      </c>
      <c r="AI23" s="59">
        <v>275551</v>
      </c>
      <c r="AJ23" s="220">
        <v>270798</v>
      </c>
      <c r="AK23"/>
    </row>
    <row r="24" spans="2:37" ht="15" outlineLevel="1" x14ac:dyDescent="0.25">
      <c r="B24" s="57" t="s">
        <v>28</v>
      </c>
      <c r="C24" s="57" t="s">
        <v>18</v>
      </c>
      <c r="D24" s="58"/>
      <c r="E24" s="58">
        <v>41240</v>
      </c>
      <c r="F24" s="58" t="s">
        <v>100</v>
      </c>
      <c r="G24" s="58">
        <v>40442</v>
      </c>
      <c r="H24" s="58">
        <v>42797</v>
      </c>
      <c r="I24" s="58">
        <v>45608</v>
      </c>
      <c r="J24" s="58">
        <v>45942</v>
      </c>
      <c r="K24" s="58">
        <v>33122</v>
      </c>
      <c r="L24" s="58">
        <v>31442</v>
      </c>
      <c r="M24" s="58">
        <v>36276</v>
      </c>
      <c r="N24" s="58">
        <v>36813</v>
      </c>
      <c r="O24" s="58">
        <v>35261</v>
      </c>
      <c r="P24" s="58">
        <v>32975</v>
      </c>
      <c r="Q24" s="58">
        <v>35364</v>
      </c>
      <c r="R24" s="58">
        <v>35746</v>
      </c>
      <c r="S24" s="58">
        <v>37803</v>
      </c>
      <c r="T24" s="59">
        <v>30721</v>
      </c>
      <c r="U24" s="59">
        <v>37328</v>
      </c>
      <c r="V24" s="59">
        <v>39056</v>
      </c>
      <c r="W24" s="59">
        <v>44208</v>
      </c>
      <c r="X24" s="59">
        <v>37280</v>
      </c>
      <c r="Y24" s="59">
        <v>41192</v>
      </c>
      <c r="Z24" s="59">
        <v>43859</v>
      </c>
      <c r="AA24" s="59">
        <v>56585</v>
      </c>
      <c r="AB24" s="59">
        <v>37097</v>
      </c>
      <c r="AC24" s="59">
        <v>56597</v>
      </c>
      <c r="AD24" s="59">
        <v>58828</v>
      </c>
      <c r="AE24" s="59">
        <v>53605</v>
      </c>
      <c r="AF24" s="59">
        <v>44520</v>
      </c>
      <c r="AG24" s="59">
        <v>54774</v>
      </c>
      <c r="AH24" s="59">
        <v>57916</v>
      </c>
      <c r="AI24" s="59">
        <v>73847</v>
      </c>
      <c r="AJ24" s="220">
        <v>63615</v>
      </c>
      <c r="AK24"/>
    </row>
    <row r="25" spans="2:37" s="56" customFormat="1" ht="15" outlineLevel="1" x14ac:dyDescent="0.25">
      <c r="B25" s="57" t="s">
        <v>116</v>
      </c>
      <c r="C25" s="57" t="s">
        <v>18</v>
      </c>
      <c r="D25" s="58"/>
      <c r="E25" s="58">
        <v>4411</v>
      </c>
      <c r="F25" s="58" t="s">
        <v>100</v>
      </c>
      <c r="G25" s="58">
        <v>619</v>
      </c>
      <c r="H25" s="58">
        <v>607</v>
      </c>
      <c r="I25" s="58">
        <v>595</v>
      </c>
      <c r="J25" s="58">
        <v>584</v>
      </c>
      <c r="K25" s="58">
        <v>567</v>
      </c>
      <c r="L25" s="58">
        <v>538</v>
      </c>
      <c r="M25" s="58">
        <v>538</v>
      </c>
      <c r="N25" s="58">
        <v>399</v>
      </c>
      <c r="O25" s="58">
        <v>387</v>
      </c>
      <c r="P25" s="58">
        <v>278</v>
      </c>
      <c r="Q25" s="58">
        <v>259</v>
      </c>
      <c r="R25" s="58">
        <v>247</v>
      </c>
      <c r="S25" s="58">
        <v>238</v>
      </c>
      <c r="T25" s="59">
        <v>12603</v>
      </c>
      <c r="U25" s="59">
        <v>27704</v>
      </c>
      <c r="V25" s="59">
        <v>27481</v>
      </c>
      <c r="W25" s="59"/>
      <c r="X25" s="59"/>
      <c r="Y25" s="59"/>
      <c r="Z25" s="59"/>
      <c r="AA25" s="59"/>
      <c r="AB25" s="59"/>
      <c r="AC25" s="59"/>
      <c r="AD25" s="59"/>
      <c r="AE25" s="59"/>
      <c r="AF25" s="59"/>
      <c r="AG25" s="59"/>
      <c r="AH25" s="59"/>
      <c r="AI25" s="59"/>
      <c r="AJ25"/>
      <c r="AK25"/>
    </row>
    <row r="26" spans="2:37" s="56" customFormat="1" ht="15" outlineLevel="1" x14ac:dyDescent="0.25">
      <c r="B26" s="57" t="s">
        <v>118</v>
      </c>
      <c r="C26" s="57" t="s">
        <v>18</v>
      </c>
      <c r="D26" s="58"/>
      <c r="E26" s="58">
        <v>243</v>
      </c>
      <c r="F26" s="58" t="s">
        <v>100</v>
      </c>
      <c r="G26" s="58">
        <v>13</v>
      </c>
      <c r="H26" s="58">
        <v>80</v>
      </c>
      <c r="I26" s="58">
        <v>80</v>
      </c>
      <c r="J26" s="58">
        <v>80</v>
      </c>
      <c r="K26" s="58">
        <v>67</v>
      </c>
      <c r="L26" s="58">
        <v>67</v>
      </c>
      <c r="M26" s="58">
        <v>67</v>
      </c>
      <c r="N26" s="58">
        <v>67</v>
      </c>
      <c r="O26" s="58" t="s">
        <v>100</v>
      </c>
      <c r="P26" s="58" t="s">
        <v>100</v>
      </c>
      <c r="Q26" s="58" t="s">
        <v>100</v>
      </c>
      <c r="R26" s="58">
        <v>10</v>
      </c>
      <c r="S26" s="58" t="s">
        <v>100</v>
      </c>
      <c r="W26" s="59"/>
      <c r="X26" s="59"/>
      <c r="Y26" s="59"/>
      <c r="Z26" s="59"/>
      <c r="AA26" s="59"/>
      <c r="AB26" s="59"/>
      <c r="AC26" s="59"/>
      <c r="AD26" s="59"/>
      <c r="AE26" s="59"/>
      <c r="AF26" s="59"/>
      <c r="AJ26"/>
      <c r="AK26"/>
    </row>
    <row r="27" spans="2:37" s="56" customFormat="1" ht="15" outlineLevel="1" x14ac:dyDescent="0.25">
      <c r="B27" s="57" t="s">
        <v>298</v>
      </c>
      <c r="C27" s="57" t="s">
        <v>18</v>
      </c>
      <c r="D27" s="58"/>
      <c r="E27" s="58">
        <v>8948</v>
      </c>
      <c r="F27" s="58"/>
      <c r="G27" s="58">
        <v>7552</v>
      </c>
      <c r="H27" s="58">
        <v>14694</v>
      </c>
      <c r="I27" s="58">
        <v>13872</v>
      </c>
      <c r="J27" s="58">
        <v>15528</v>
      </c>
      <c r="K27" s="58">
        <v>13558</v>
      </c>
      <c r="L27" s="58">
        <v>15206</v>
      </c>
      <c r="M27" s="58">
        <v>20065</v>
      </c>
      <c r="N27" s="58">
        <v>13737</v>
      </c>
      <c r="O27" s="58">
        <v>13206</v>
      </c>
      <c r="P27" s="58">
        <v>16632</v>
      </c>
      <c r="Q27" s="58">
        <v>17530</v>
      </c>
      <c r="R27" s="58">
        <v>25811</v>
      </c>
      <c r="S27" s="58">
        <v>30689</v>
      </c>
      <c r="T27" s="59">
        <v>39213</v>
      </c>
      <c r="U27" s="59">
        <v>32777</v>
      </c>
      <c r="V27" s="59">
        <v>26020</v>
      </c>
      <c r="W27" s="59">
        <v>34515</v>
      </c>
      <c r="X27" s="59">
        <v>21950</v>
      </c>
      <c r="Y27" s="59">
        <v>25287</v>
      </c>
      <c r="Z27" s="59">
        <v>28508</v>
      </c>
      <c r="AA27" s="59">
        <v>33802</v>
      </c>
      <c r="AB27" s="59">
        <v>40744</v>
      </c>
      <c r="AC27" s="59">
        <v>54646</v>
      </c>
      <c r="AD27" s="59">
        <v>45744</v>
      </c>
      <c r="AE27" s="59">
        <v>40465</v>
      </c>
      <c r="AF27" s="59">
        <v>45559</v>
      </c>
      <c r="AG27" s="59">
        <v>40927</v>
      </c>
      <c r="AH27" s="59">
        <v>35082</v>
      </c>
      <c r="AI27" s="59">
        <v>55146</v>
      </c>
      <c r="AJ27" s="220">
        <v>68361</v>
      </c>
      <c r="AK27"/>
    </row>
    <row r="28" spans="2:37" ht="15" outlineLevel="1" x14ac:dyDescent="0.25">
      <c r="B28" s="57" t="s">
        <v>71</v>
      </c>
      <c r="C28" s="57" t="s">
        <v>18</v>
      </c>
      <c r="D28" s="58"/>
      <c r="E28" s="58" t="s">
        <v>100</v>
      </c>
      <c r="F28" s="58" t="s">
        <v>100</v>
      </c>
      <c r="G28" s="58" t="s">
        <v>100</v>
      </c>
      <c r="H28" s="58" t="s">
        <v>100</v>
      </c>
      <c r="I28" s="58" t="s">
        <v>100</v>
      </c>
      <c r="J28" s="58" t="s">
        <v>100</v>
      </c>
      <c r="K28" s="58" t="s">
        <v>100</v>
      </c>
      <c r="L28" s="58" t="s">
        <v>100</v>
      </c>
      <c r="M28" s="58" t="s">
        <v>100</v>
      </c>
      <c r="N28" s="58" t="s">
        <v>100</v>
      </c>
      <c r="O28" s="58">
        <v>2203</v>
      </c>
      <c r="P28" s="58">
        <v>5909</v>
      </c>
      <c r="Q28" s="58">
        <v>5887</v>
      </c>
      <c r="R28" s="58">
        <v>5865</v>
      </c>
      <c r="S28" s="58">
        <v>2065</v>
      </c>
      <c r="T28" s="59">
        <v>2056</v>
      </c>
      <c r="U28" s="59">
        <v>2047</v>
      </c>
      <c r="V28" s="59">
        <v>2038</v>
      </c>
      <c r="W28" s="59"/>
      <c r="X28" s="59"/>
      <c r="Y28" s="59"/>
      <c r="Z28" s="59"/>
      <c r="AA28" s="59"/>
      <c r="AJ28"/>
      <c r="AK28"/>
    </row>
    <row r="29" spans="2:37" ht="15" outlineLevel="1" x14ac:dyDescent="0.25">
      <c r="B29" s="57" t="s">
        <v>114</v>
      </c>
      <c r="C29" s="57" t="s">
        <v>18</v>
      </c>
      <c r="D29" s="58"/>
      <c r="E29" s="58">
        <v>13091</v>
      </c>
      <c r="F29" s="58" t="s">
        <v>100</v>
      </c>
      <c r="G29" s="58">
        <v>13245</v>
      </c>
      <c r="H29" s="58">
        <v>12226</v>
      </c>
      <c r="I29" s="58">
        <v>12136</v>
      </c>
      <c r="J29" s="58">
        <v>10988</v>
      </c>
      <c r="K29" s="58">
        <v>10125</v>
      </c>
      <c r="L29" s="58">
        <v>11386</v>
      </c>
      <c r="M29" s="58">
        <v>9403</v>
      </c>
      <c r="N29" s="58">
        <v>9237</v>
      </c>
      <c r="O29" s="58">
        <v>8423</v>
      </c>
      <c r="P29" s="58">
        <v>7629</v>
      </c>
      <c r="Q29" s="58">
        <v>6950</v>
      </c>
      <c r="R29" s="58">
        <v>6167</v>
      </c>
      <c r="S29" s="58">
        <v>5493</v>
      </c>
      <c r="T29" s="59">
        <v>4998</v>
      </c>
      <c r="U29" s="59">
        <v>4242</v>
      </c>
      <c r="V29" s="59">
        <v>3485</v>
      </c>
      <c r="W29" s="59"/>
      <c r="X29" s="59"/>
      <c r="Y29" s="59"/>
      <c r="Z29" s="59"/>
      <c r="AA29" s="59"/>
      <c r="AJ29"/>
      <c r="AK29"/>
    </row>
    <row r="30" spans="2:37" s="56" customFormat="1" ht="15" outlineLevel="1" x14ac:dyDescent="0.25">
      <c r="B30" s="57" t="s">
        <v>117</v>
      </c>
      <c r="C30" s="57" t="s">
        <v>18</v>
      </c>
      <c r="D30" s="58"/>
      <c r="E30" s="58"/>
      <c r="F30" s="58" t="s">
        <v>100</v>
      </c>
      <c r="G30" s="58">
        <v>1369</v>
      </c>
      <c r="H30" s="58">
        <v>882</v>
      </c>
      <c r="I30" s="58">
        <v>649</v>
      </c>
      <c r="J30" s="58">
        <v>876</v>
      </c>
      <c r="K30" s="58">
        <v>543</v>
      </c>
      <c r="L30" s="58">
        <v>1057</v>
      </c>
      <c r="M30" s="58">
        <v>1746</v>
      </c>
      <c r="N30" s="58">
        <v>1453</v>
      </c>
      <c r="O30" s="58">
        <v>1048</v>
      </c>
      <c r="P30" s="58">
        <v>1103</v>
      </c>
      <c r="Q30" s="58">
        <v>1567</v>
      </c>
      <c r="R30" s="58">
        <v>2790</v>
      </c>
      <c r="S30" s="58" t="s">
        <v>100</v>
      </c>
      <c r="T30" s="59"/>
      <c r="U30" s="59"/>
      <c r="V30" s="59"/>
      <c r="W30" s="59"/>
      <c r="X30" s="59"/>
      <c r="Y30" s="59"/>
      <c r="Z30" s="59"/>
      <c r="AA30" s="59"/>
      <c r="AJ30"/>
      <c r="AK30"/>
    </row>
    <row r="31" spans="2:37" ht="15" outlineLevel="1" x14ac:dyDescent="0.25">
      <c r="B31" s="57" t="s">
        <v>195</v>
      </c>
      <c r="C31" s="57" t="s">
        <v>18</v>
      </c>
      <c r="D31" s="58"/>
      <c r="E31" s="58">
        <f>25610+11</f>
        <v>25621</v>
      </c>
      <c r="F31" s="58" t="s">
        <v>100</v>
      </c>
      <c r="G31" s="58">
        <f>20847+13</f>
        <v>20860</v>
      </c>
      <c r="H31" s="58">
        <f>24477+13</f>
        <v>24490</v>
      </c>
      <c r="I31" s="58">
        <f>25107+13</f>
        <v>25120</v>
      </c>
      <c r="J31" s="58">
        <f>24660+13</f>
        <v>24673</v>
      </c>
      <c r="K31" s="58">
        <v>24689</v>
      </c>
      <c r="L31" s="58">
        <f>25021+14</f>
        <v>25035</v>
      </c>
      <c r="M31" s="58">
        <v>23917</v>
      </c>
      <c r="N31" s="58">
        <v>26206</v>
      </c>
      <c r="O31" s="58">
        <v>40408</v>
      </c>
      <c r="P31" s="58">
        <v>39223</v>
      </c>
      <c r="Q31" s="58">
        <v>35540</v>
      </c>
      <c r="R31" s="58">
        <v>36812</v>
      </c>
      <c r="S31" s="58">
        <v>39295</v>
      </c>
      <c r="T31" s="59">
        <v>40838</v>
      </c>
      <c r="U31" s="59">
        <v>47713</v>
      </c>
      <c r="V31" s="59">
        <v>54082</v>
      </c>
      <c r="W31" s="59"/>
      <c r="X31" s="59"/>
      <c r="Y31" s="59"/>
      <c r="Z31" s="59"/>
      <c r="AA31" s="59"/>
      <c r="AG31" s="59"/>
      <c r="AH31" s="59"/>
      <c r="AI31" s="59"/>
      <c r="AJ31"/>
      <c r="AK31"/>
    </row>
    <row r="32" spans="2:37" ht="15" outlineLevel="1" x14ac:dyDescent="0.25">
      <c r="B32" s="57" t="s">
        <v>318</v>
      </c>
      <c r="C32" s="57" t="s">
        <v>18</v>
      </c>
      <c r="D32" s="58"/>
      <c r="E32" s="58"/>
      <c r="F32" s="58"/>
      <c r="G32" s="58"/>
      <c r="H32" s="58"/>
      <c r="I32" s="58"/>
      <c r="J32" s="58"/>
      <c r="K32" s="58"/>
      <c r="L32" s="58"/>
      <c r="M32" s="58"/>
      <c r="N32" s="58"/>
      <c r="O32" s="58"/>
      <c r="P32" s="58"/>
      <c r="Q32" s="58"/>
      <c r="R32" s="58"/>
      <c r="S32" s="58"/>
      <c r="T32" s="59"/>
      <c r="U32" s="59"/>
      <c r="V32" s="59"/>
      <c r="W32" s="59">
        <v>59371</v>
      </c>
      <c r="X32" s="59">
        <v>58195</v>
      </c>
      <c r="Y32" s="59">
        <v>59574</v>
      </c>
      <c r="Z32" s="59">
        <v>67097</v>
      </c>
      <c r="AA32" s="59">
        <v>75873</v>
      </c>
      <c r="AB32" s="59">
        <v>78802</v>
      </c>
      <c r="AC32" s="59">
        <v>82743</v>
      </c>
      <c r="AD32" s="59">
        <v>80122</v>
      </c>
      <c r="AE32" s="59">
        <v>86214</v>
      </c>
      <c r="AF32" s="59">
        <v>87513</v>
      </c>
      <c r="AG32" s="59">
        <v>109718</v>
      </c>
      <c r="AH32" s="59">
        <v>126322</v>
      </c>
      <c r="AI32" s="59">
        <v>131448</v>
      </c>
      <c r="AJ32" s="220">
        <v>115006</v>
      </c>
      <c r="AK32"/>
    </row>
    <row r="33" spans="2:39" ht="15" outlineLevel="1" x14ac:dyDescent="0.25">
      <c r="B33" s="57" t="s">
        <v>308</v>
      </c>
      <c r="C33" s="57" t="s">
        <v>18</v>
      </c>
      <c r="D33" s="58"/>
      <c r="E33" s="58"/>
      <c r="F33" s="58"/>
      <c r="G33" s="58"/>
      <c r="H33" s="58"/>
      <c r="I33" s="58"/>
      <c r="J33" s="58"/>
      <c r="K33" s="58"/>
      <c r="L33" s="58"/>
      <c r="M33" s="58"/>
      <c r="N33" s="58"/>
      <c r="O33" s="58"/>
      <c r="P33" s="58"/>
      <c r="Q33" s="58"/>
      <c r="R33" s="58"/>
      <c r="S33" s="58"/>
      <c r="T33" s="59"/>
      <c r="U33" s="59"/>
      <c r="V33" s="59"/>
      <c r="W33" s="59">
        <v>21279</v>
      </c>
      <c r="X33" s="59">
        <v>26191</v>
      </c>
      <c r="Y33" s="59">
        <v>24346</v>
      </c>
      <c r="Z33" s="59">
        <v>21795</v>
      </c>
      <c r="AA33" s="59">
        <v>24971</v>
      </c>
      <c r="AB33" s="59">
        <v>33689</v>
      </c>
      <c r="AC33" s="59">
        <v>34391</v>
      </c>
      <c r="AD33" s="59">
        <v>35858</v>
      </c>
      <c r="AE33" s="59">
        <v>33448</v>
      </c>
      <c r="AF33" s="59">
        <v>41104</v>
      </c>
      <c r="AG33" s="59">
        <v>53659</v>
      </c>
      <c r="AH33" s="59">
        <v>62083</v>
      </c>
      <c r="AI33" s="59">
        <v>63573</v>
      </c>
      <c r="AJ33" s="220">
        <v>70482</v>
      </c>
      <c r="AK33"/>
    </row>
    <row r="34" spans="2:39" s="9" customFormat="1" ht="15" outlineLevel="1" x14ac:dyDescent="0.25">
      <c r="B34" s="23" t="s">
        <v>30</v>
      </c>
      <c r="C34" s="23" t="s">
        <v>18</v>
      </c>
      <c r="D34" s="63"/>
      <c r="E34" s="63">
        <f>SUM(E17:E31)</f>
        <v>569708</v>
      </c>
      <c r="F34" s="63" t="s">
        <v>100</v>
      </c>
      <c r="G34" s="63">
        <f t="shared" ref="G34:T34" si="0">SUM(G17:G31)</f>
        <v>1019146</v>
      </c>
      <c r="H34" s="63">
        <f t="shared" si="0"/>
        <v>927504</v>
      </c>
      <c r="I34" s="63">
        <f t="shared" si="0"/>
        <v>1187410</v>
      </c>
      <c r="J34" s="63">
        <f t="shared" si="0"/>
        <v>1187360</v>
      </c>
      <c r="K34" s="63">
        <f t="shared" si="0"/>
        <v>1176113</v>
      </c>
      <c r="L34" s="63">
        <f t="shared" si="0"/>
        <v>1151841</v>
      </c>
      <c r="M34" s="63">
        <f t="shared" si="0"/>
        <v>1155680</v>
      </c>
      <c r="N34" s="63">
        <f t="shared" si="0"/>
        <v>1155997</v>
      </c>
      <c r="O34" s="63">
        <f t="shared" si="0"/>
        <v>1146990</v>
      </c>
      <c r="P34" s="63">
        <f t="shared" si="0"/>
        <v>1136739</v>
      </c>
      <c r="Q34" s="63">
        <f>SUM(Q17:Q31)</f>
        <v>1130248</v>
      </c>
      <c r="R34" s="63">
        <f t="shared" si="0"/>
        <v>1133928</v>
      </c>
      <c r="S34" s="63">
        <f t="shared" si="0"/>
        <v>1179748</v>
      </c>
      <c r="T34" s="63">
        <f t="shared" si="0"/>
        <v>1196582</v>
      </c>
      <c r="U34" s="63">
        <f>SUM(U17:U31)</f>
        <v>1191013</v>
      </c>
      <c r="V34" s="63">
        <f>SUM(V17:V31)</f>
        <v>1223867</v>
      </c>
      <c r="W34" s="63">
        <f t="shared" ref="W34:AI34" si="1">SUM(W17:W33)</f>
        <v>1274813</v>
      </c>
      <c r="X34" s="63">
        <f t="shared" si="1"/>
        <v>1277315</v>
      </c>
      <c r="Y34" s="63">
        <f t="shared" si="1"/>
        <v>1236896</v>
      </c>
      <c r="Z34" s="63">
        <f t="shared" si="1"/>
        <v>1249599</v>
      </c>
      <c r="AA34" s="63">
        <f t="shared" si="1"/>
        <v>1308584</v>
      </c>
      <c r="AB34" s="63">
        <f t="shared" si="1"/>
        <v>1347173</v>
      </c>
      <c r="AC34" s="63">
        <f t="shared" si="1"/>
        <v>1421035</v>
      </c>
      <c r="AD34" s="63">
        <f t="shared" si="1"/>
        <v>2165598</v>
      </c>
      <c r="AE34" s="63">
        <f t="shared" si="1"/>
        <v>2195342</v>
      </c>
      <c r="AF34" s="63">
        <f t="shared" si="1"/>
        <v>2212056</v>
      </c>
      <c r="AG34" s="63">
        <f t="shared" si="1"/>
        <v>2211560</v>
      </c>
      <c r="AH34" s="63">
        <f t="shared" si="1"/>
        <v>2305641</v>
      </c>
      <c r="AI34" s="63">
        <f t="shared" si="1"/>
        <v>2448665</v>
      </c>
      <c r="AJ34" s="63">
        <f>SUM(AJ17:AJ33)</f>
        <v>2457606</v>
      </c>
      <c r="AK34"/>
      <c r="AL34" s="2"/>
    </row>
    <row r="35" spans="2:39" s="9" customFormat="1" ht="15" outlineLevel="1" x14ac:dyDescent="0.25">
      <c r="B35" s="166" t="s">
        <v>317</v>
      </c>
      <c r="C35" s="26"/>
      <c r="D35" s="60"/>
      <c r="E35" s="60"/>
      <c r="F35" s="60" t="s">
        <v>100</v>
      </c>
      <c r="G35" s="60"/>
      <c r="H35" s="60"/>
      <c r="I35" s="60"/>
      <c r="J35" s="60"/>
      <c r="K35" s="60"/>
      <c r="L35" s="60"/>
      <c r="M35" s="60"/>
      <c r="N35" s="60"/>
      <c r="O35" s="60"/>
      <c r="P35" s="60"/>
      <c r="Q35" s="60"/>
      <c r="R35" s="60"/>
      <c r="S35" s="60"/>
      <c r="T35" s="60"/>
      <c r="U35" s="60"/>
      <c r="V35" s="60"/>
      <c r="W35" s="60"/>
      <c r="X35" s="29"/>
      <c r="AJ35"/>
      <c r="AK35"/>
      <c r="AL35" s="2"/>
    </row>
    <row r="36" spans="2:39" ht="15" outlineLevel="1" x14ac:dyDescent="0.25">
      <c r="B36" s="30" t="s">
        <v>31</v>
      </c>
      <c r="C36" s="24"/>
      <c r="D36" s="59"/>
      <c r="E36" s="59"/>
      <c r="F36" s="59"/>
      <c r="G36" s="59"/>
      <c r="H36" s="59"/>
      <c r="I36" s="59"/>
      <c r="J36" s="59"/>
      <c r="K36" s="59"/>
      <c r="L36" s="59"/>
      <c r="M36" s="59"/>
      <c r="N36" s="59"/>
      <c r="O36" s="59"/>
      <c r="P36" s="59"/>
      <c r="Q36" s="59"/>
      <c r="R36" s="59"/>
      <c r="S36" s="24"/>
      <c r="T36" s="24"/>
      <c r="U36" s="24"/>
      <c r="V36" s="24"/>
      <c r="W36" s="24"/>
      <c r="X36" s="29"/>
      <c r="AJ36"/>
      <c r="AK36"/>
    </row>
    <row r="37" spans="2:39" ht="15" outlineLevel="1" x14ac:dyDescent="0.25">
      <c r="B37" s="57" t="s">
        <v>118</v>
      </c>
      <c r="C37" s="24" t="s">
        <v>18</v>
      </c>
      <c r="D37" s="59"/>
      <c r="E37" s="59">
        <v>73752</v>
      </c>
      <c r="F37" s="59" t="s">
        <v>100</v>
      </c>
      <c r="G37" s="59">
        <v>94477</v>
      </c>
      <c r="H37" s="59">
        <v>41645</v>
      </c>
      <c r="I37" s="59">
        <v>47438</v>
      </c>
      <c r="J37" s="59">
        <v>65875</v>
      </c>
      <c r="K37" s="59">
        <v>90627</v>
      </c>
      <c r="L37" s="59">
        <v>66026</v>
      </c>
      <c r="M37" s="59">
        <v>91594</v>
      </c>
      <c r="N37" s="59">
        <v>82560</v>
      </c>
      <c r="O37" s="59">
        <v>117418</v>
      </c>
      <c r="P37" s="59">
        <v>39050</v>
      </c>
      <c r="Q37" s="59">
        <v>142234</v>
      </c>
      <c r="R37" s="59">
        <v>96734</v>
      </c>
      <c r="S37" s="59">
        <v>220138</v>
      </c>
      <c r="T37" s="59">
        <v>164960</v>
      </c>
      <c r="U37" s="59">
        <v>198505</v>
      </c>
      <c r="V37" s="59">
        <v>227973</v>
      </c>
      <c r="W37" s="59">
        <v>270921</v>
      </c>
      <c r="X37" s="59">
        <v>261906</v>
      </c>
      <c r="Y37" s="59">
        <v>141593</v>
      </c>
      <c r="Z37" s="59">
        <v>190735</v>
      </c>
      <c r="AA37" s="59">
        <v>430319</v>
      </c>
      <c r="AB37" s="59">
        <v>177901</v>
      </c>
      <c r="AC37" s="59">
        <v>261117</v>
      </c>
      <c r="AD37" s="59">
        <v>306887</v>
      </c>
      <c r="AE37" s="59">
        <v>676161</v>
      </c>
      <c r="AF37" s="59">
        <v>138034</v>
      </c>
      <c r="AG37" s="59">
        <v>267025</v>
      </c>
      <c r="AH37" s="59">
        <v>326272</v>
      </c>
      <c r="AI37" s="59">
        <v>339944</v>
      </c>
      <c r="AJ37" s="220">
        <v>84217</v>
      </c>
      <c r="AK37"/>
      <c r="AL37" s="9"/>
    </row>
    <row r="38" spans="2:39" ht="15" outlineLevel="1" x14ac:dyDescent="0.25">
      <c r="B38" s="57" t="s">
        <v>33</v>
      </c>
      <c r="C38" s="24" t="s">
        <v>18</v>
      </c>
      <c r="D38" s="59"/>
      <c r="E38" s="59">
        <v>9869</v>
      </c>
      <c r="F38" s="59" t="s">
        <v>100</v>
      </c>
      <c r="G38" s="59">
        <v>4366</v>
      </c>
      <c r="H38" s="59">
        <v>8149</v>
      </c>
      <c r="I38" s="59">
        <v>7892</v>
      </c>
      <c r="J38" s="59">
        <v>7788</v>
      </c>
      <c r="K38" s="59">
        <v>12110</v>
      </c>
      <c r="L38" s="59">
        <v>7754</v>
      </c>
      <c r="M38" s="59">
        <v>4951</v>
      </c>
      <c r="N38" s="59">
        <v>4803</v>
      </c>
      <c r="O38" s="59">
        <v>9986</v>
      </c>
      <c r="P38" s="59">
        <v>23187</v>
      </c>
      <c r="Q38" s="59">
        <v>19482</v>
      </c>
      <c r="R38" s="59">
        <v>48641</v>
      </c>
      <c r="S38" s="59">
        <v>7526</v>
      </c>
      <c r="T38" s="59">
        <v>10096</v>
      </c>
      <c r="U38" s="59">
        <v>16112</v>
      </c>
      <c r="V38" s="59">
        <v>16799</v>
      </c>
      <c r="W38" s="59">
        <v>11451</v>
      </c>
      <c r="X38" s="59">
        <v>26841</v>
      </c>
      <c r="Y38" s="59">
        <v>17858</v>
      </c>
      <c r="Z38" s="59">
        <v>20369</v>
      </c>
      <c r="AA38" s="59">
        <v>9536</v>
      </c>
      <c r="AB38" s="59">
        <v>17767</v>
      </c>
      <c r="AC38" s="59">
        <v>5475</v>
      </c>
      <c r="AD38" s="59">
        <v>18058</v>
      </c>
      <c r="AE38" s="59">
        <v>9508</v>
      </c>
      <c r="AF38" s="59">
        <v>58810</v>
      </c>
      <c r="AG38" s="59">
        <v>90660</v>
      </c>
      <c r="AH38" s="59">
        <v>90037</v>
      </c>
      <c r="AI38" s="59">
        <v>49153</v>
      </c>
      <c r="AJ38" s="220">
        <v>83099</v>
      </c>
      <c r="AK38"/>
      <c r="AL38" s="9"/>
    </row>
    <row r="39" spans="2:39" ht="15" outlineLevel="1" x14ac:dyDescent="0.25">
      <c r="B39" s="57" t="s">
        <v>246</v>
      </c>
      <c r="C39" s="24" t="s">
        <v>18</v>
      </c>
      <c r="D39" s="59"/>
      <c r="E39" s="59">
        <v>21375</v>
      </c>
      <c r="F39" s="59" t="s">
        <v>100</v>
      </c>
      <c r="G39" s="59">
        <v>29799</v>
      </c>
      <c r="H39" s="59">
        <v>29854</v>
      </c>
      <c r="I39" s="59">
        <v>24240</v>
      </c>
      <c r="J39" s="59">
        <v>30756</v>
      </c>
      <c r="K39" s="59">
        <v>44874</v>
      </c>
      <c r="L39" s="59">
        <v>50765</v>
      </c>
      <c r="M39" s="59">
        <v>39285</v>
      </c>
      <c r="N39" s="59">
        <v>49228</v>
      </c>
      <c r="O39" s="59">
        <v>48621</v>
      </c>
      <c r="P39" s="59">
        <v>37295</v>
      </c>
      <c r="Q39" s="59">
        <v>34733</v>
      </c>
      <c r="R39" s="59">
        <v>40624</v>
      </c>
      <c r="S39" s="59">
        <v>46447</v>
      </c>
      <c r="T39" s="59">
        <v>59880</v>
      </c>
      <c r="U39" s="59">
        <v>72806</v>
      </c>
      <c r="V39" s="59">
        <v>65728</v>
      </c>
      <c r="W39" s="59">
        <v>62389</v>
      </c>
      <c r="X39" s="59">
        <v>61872</v>
      </c>
      <c r="Y39" s="59">
        <v>82081</v>
      </c>
      <c r="Z39" s="59">
        <v>102189</v>
      </c>
      <c r="AA39" s="59">
        <v>146450</v>
      </c>
      <c r="AB39" s="59">
        <v>159664</v>
      </c>
      <c r="AC39" s="59">
        <v>184201</v>
      </c>
      <c r="AD39" s="59">
        <v>170250</v>
      </c>
      <c r="AE39" s="59">
        <v>219672</v>
      </c>
      <c r="AF39" s="59">
        <v>215249</v>
      </c>
      <c r="AG39" s="59">
        <v>219049</v>
      </c>
      <c r="AH39" s="59">
        <v>234724</v>
      </c>
      <c r="AI39" s="59">
        <v>274180</v>
      </c>
      <c r="AJ39" s="220">
        <v>301702</v>
      </c>
      <c r="AK39"/>
      <c r="AL39" s="9"/>
    </row>
    <row r="40" spans="2:39" s="9" customFormat="1" ht="15" outlineLevel="1" x14ac:dyDescent="0.25">
      <c r="B40" s="57" t="s">
        <v>32</v>
      </c>
      <c r="C40" s="24" t="s">
        <v>18</v>
      </c>
      <c r="D40" s="59"/>
      <c r="E40" s="59">
        <v>202918</v>
      </c>
      <c r="F40" s="59" t="s">
        <v>100</v>
      </c>
      <c r="G40" s="59">
        <v>171026</v>
      </c>
      <c r="H40" s="59">
        <v>194896</v>
      </c>
      <c r="I40" s="59">
        <v>222485</v>
      </c>
      <c r="J40" s="59">
        <v>279971</v>
      </c>
      <c r="K40" s="59">
        <v>217059</v>
      </c>
      <c r="L40" s="59">
        <v>251988</v>
      </c>
      <c r="M40" s="59">
        <v>240423</v>
      </c>
      <c r="N40" s="59">
        <v>218611</v>
      </c>
      <c r="O40" s="59">
        <v>233389</v>
      </c>
      <c r="P40" s="59">
        <v>266162</v>
      </c>
      <c r="Q40" s="59">
        <v>225722</v>
      </c>
      <c r="R40" s="59">
        <v>275487</v>
      </c>
      <c r="S40" s="59">
        <v>275856</v>
      </c>
      <c r="T40" s="59">
        <v>315835</v>
      </c>
      <c r="U40" s="59">
        <v>310844</v>
      </c>
      <c r="V40" s="59">
        <v>317067</v>
      </c>
      <c r="W40" s="59">
        <v>392621</v>
      </c>
      <c r="X40" s="59">
        <v>288630</v>
      </c>
      <c r="Y40" s="59">
        <v>392796</v>
      </c>
      <c r="Z40" s="59">
        <v>419924</v>
      </c>
      <c r="AA40" s="59">
        <v>423314</v>
      </c>
      <c r="AB40" s="59">
        <v>414619</v>
      </c>
      <c r="AC40" s="59">
        <v>402402</v>
      </c>
      <c r="AD40" s="59">
        <v>326274</v>
      </c>
      <c r="AE40" s="59">
        <v>388157</v>
      </c>
      <c r="AF40" s="59">
        <v>419985</v>
      </c>
      <c r="AG40" s="59">
        <v>470155</v>
      </c>
      <c r="AH40" s="59">
        <v>436930</v>
      </c>
      <c r="AI40" s="59">
        <v>415319</v>
      </c>
      <c r="AJ40" s="220">
        <v>563566</v>
      </c>
      <c r="AK40"/>
      <c r="AL40" s="2"/>
    </row>
    <row r="41" spans="2:39" s="9" customFormat="1" ht="15" outlineLevel="1" x14ac:dyDescent="0.25">
      <c r="B41" s="57" t="s">
        <v>130</v>
      </c>
      <c r="C41" s="24" t="s">
        <v>18</v>
      </c>
      <c r="D41" s="59"/>
      <c r="E41" s="59">
        <v>7618</v>
      </c>
      <c r="F41" s="59" t="s">
        <v>100</v>
      </c>
      <c r="G41" s="59">
        <v>205</v>
      </c>
      <c r="H41" s="59">
        <v>64</v>
      </c>
      <c r="I41" s="59">
        <v>55</v>
      </c>
      <c r="J41" s="59">
        <v>50</v>
      </c>
      <c r="K41" s="59"/>
      <c r="L41" s="59" t="s">
        <v>100</v>
      </c>
      <c r="M41" s="59" t="s">
        <v>100</v>
      </c>
      <c r="N41" s="59" t="s">
        <v>100</v>
      </c>
      <c r="O41" s="59"/>
      <c r="P41" s="59">
        <v>1281</v>
      </c>
      <c r="Q41" s="60" t="s">
        <v>100</v>
      </c>
      <c r="R41" s="59" t="s">
        <v>100</v>
      </c>
      <c r="S41" s="59">
        <v>43220</v>
      </c>
      <c r="T41" s="59">
        <v>46838</v>
      </c>
      <c r="U41" s="59">
        <v>8</v>
      </c>
      <c r="V41" s="59">
        <v>8</v>
      </c>
      <c r="W41" s="59"/>
      <c r="X41" s="59"/>
      <c r="Y41" s="59"/>
      <c r="Z41" s="59"/>
      <c r="AA41" s="59"/>
      <c r="AB41" s="59"/>
      <c r="AC41" s="59"/>
      <c r="AD41" s="59"/>
      <c r="AE41" s="59"/>
      <c r="AF41" s="59"/>
      <c r="AJ41"/>
      <c r="AK41"/>
      <c r="AL41" s="2"/>
    </row>
    <row r="42" spans="2:39" s="9" customFormat="1" ht="15" outlineLevel="1" x14ac:dyDescent="0.25">
      <c r="B42" s="57" t="s">
        <v>119</v>
      </c>
      <c r="C42" s="24" t="s">
        <v>18</v>
      </c>
      <c r="D42" s="59"/>
      <c r="E42" s="59">
        <v>8119</v>
      </c>
      <c r="F42" s="59" t="s">
        <v>100</v>
      </c>
      <c r="G42" s="59">
        <v>10373</v>
      </c>
      <c r="H42" s="59">
        <v>8183</v>
      </c>
      <c r="I42" s="59">
        <v>5430</v>
      </c>
      <c r="J42" s="59">
        <v>2846</v>
      </c>
      <c r="K42" s="59">
        <v>2798</v>
      </c>
      <c r="L42" s="59">
        <v>3289</v>
      </c>
      <c r="M42" s="59">
        <v>2965</v>
      </c>
      <c r="N42" s="59">
        <v>3154</v>
      </c>
      <c r="O42" s="59">
        <v>3089</v>
      </c>
      <c r="P42" s="59">
        <v>3116</v>
      </c>
      <c r="Q42" s="59">
        <v>3141</v>
      </c>
      <c r="R42" s="59">
        <v>3313</v>
      </c>
      <c r="S42" s="59">
        <v>3357</v>
      </c>
      <c r="T42" s="59">
        <v>3551</v>
      </c>
      <c r="U42" s="59">
        <v>3602</v>
      </c>
      <c r="V42" s="59">
        <v>3652</v>
      </c>
      <c r="W42" s="59"/>
      <c r="X42" s="59"/>
      <c r="Y42" s="59"/>
      <c r="Z42" s="59"/>
      <c r="AA42" s="59"/>
      <c r="AB42" s="59"/>
      <c r="AC42" s="59"/>
      <c r="AD42" s="59"/>
      <c r="AE42" s="59"/>
      <c r="AF42" s="59"/>
      <c r="AJ42"/>
      <c r="AK42"/>
      <c r="AL42" s="2"/>
    </row>
    <row r="43" spans="2:39" ht="15" outlineLevel="1" x14ac:dyDescent="0.25">
      <c r="B43" s="57" t="s">
        <v>34</v>
      </c>
      <c r="C43" s="24" t="s">
        <v>18</v>
      </c>
      <c r="D43" s="59"/>
      <c r="E43" s="59">
        <v>100542</v>
      </c>
      <c r="F43" s="59" t="s">
        <v>100</v>
      </c>
      <c r="G43" s="59">
        <v>128819</v>
      </c>
      <c r="H43" s="59">
        <v>112124</v>
      </c>
      <c r="I43" s="59">
        <v>60012</v>
      </c>
      <c r="J43" s="59">
        <v>86065</v>
      </c>
      <c r="K43" s="59">
        <v>98560</v>
      </c>
      <c r="L43" s="59">
        <v>120547</v>
      </c>
      <c r="M43" s="59">
        <v>65041</v>
      </c>
      <c r="N43" s="59">
        <v>132240</v>
      </c>
      <c r="O43" s="59">
        <v>113347</v>
      </c>
      <c r="P43" s="59">
        <v>176193</v>
      </c>
      <c r="Q43" s="59">
        <v>151762</v>
      </c>
      <c r="R43" s="59">
        <v>121907</v>
      </c>
      <c r="S43" s="59">
        <v>161190</v>
      </c>
      <c r="T43" s="59">
        <v>213398</v>
      </c>
      <c r="U43" s="59">
        <v>380394</v>
      </c>
      <c r="V43" s="59">
        <v>238793</v>
      </c>
      <c r="W43" s="59">
        <v>169536</v>
      </c>
      <c r="X43" s="59">
        <v>275800</v>
      </c>
      <c r="Y43" s="59">
        <v>268467</v>
      </c>
      <c r="Z43" s="59">
        <v>163262</v>
      </c>
      <c r="AA43" s="59">
        <v>211912</v>
      </c>
      <c r="AB43" s="59">
        <v>413893</v>
      </c>
      <c r="AC43" s="59">
        <v>152100</v>
      </c>
      <c r="AD43" s="59">
        <v>238086</v>
      </c>
      <c r="AE43" s="59">
        <v>294385</v>
      </c>
      <c r="AF43" s="59">
        <v>430715</v>
      </c>
      <c r="AG43" s="59">
        <v>583885</v>
      </c>
      <c r="AH43" s="59">
        <v>378758</v>
      </c>
      <c r="AI43" s="59">
        <v>347398</v>
      </c>
      <c r="AJ43" s="220">
        <v>355843</v>
      </c>
      <c r="AK43"/>
      <c r="AM43" s="9"/>
    </row>
    <row r="44" spans="2:39" ht="15" outlineLevel="1" x14ac:dyDescent="0.25">
      <c r="B44" s="57" t="s">
        <v>307</v>
      </c>
      <c r="C44" s="24" t="s">
        <v>18</v>
      </c>
      <c r="D44" s="59"/>
      <c r="E44" s="59"/>
      <c r="F44" s="59"/>
      <c r="G44" s="59"/>
      <c r="H44" s="59"/>
      <c r="I44" s="59"/>
      <c r="J44" s="59"/>
      <c r="K44" s="59"/>
      <c r="L44" s="59"/>
      <c r="M44" s="59"/>
      <c r="N44" s="59"/>
      <c r="O44" s="59"/>
      <c r="P44" s="59"/>
      <c r="Q44" s="59"/>
      <c r="R44" s="59"/>
      <c r="S44" s="59"/>
      <c r="T44" s="59"/>
      <c r="U44" s="59"/>
      <c r="V44" s="59"/>
      <c r="W44" s="59">
        <v>20678</v>
      </c>
      <c r="X44" s="59">
        <v>79307</v>
      </c>
      <c r="Y44" s="59">
        <v>260109</v>
      </c>
      <c r="Z44" s="59">
        <v>114978</v>
      </c>
      <c r="AA44" s="59">
        <v>49407</v>
      </c>
      <c r="AB44" s="59">
        <v>138969</v>
      </c>
      <c r="AC44" s="59">
        <v>29027</v>
      </c>
      <c r="AD44" s="59">
        <v>55657</v>
      </c>
      <c r="AE44" s="59">
        <v>20421</v>
      </c>
      <c r="AF44" s="59">
        <v>254716</v>
      </c>
      <c r="AG44" s="59">
        <v>188962</v>
      </c>
      <c r="AH44" s="59">
        <v>142643</v>
      </c>
      <c r="AI44" s="59">
        <v>133131</v>
      </c>
      <c r="AJ44" s="220">
        <v>237079</v>
      </c>
      <c r="AK44"/>
      <c r="AM44" s="9"/>
    </row>
    <row r="45" spans="2:39" ht="15" outlineLevel="1" x14ac:dyDescent="0.25">
      <c r="B45" s="57" t="s">
        <v>308</v>
      </c>
      <c r="C45" s="24" t="s">
        <v>18</v>
      </c>
      <c r="D45" s="59"/>
      <c r="E45" s="59"/>
      <c r="F45" s="59"/>
      <c r="G45" s="59"/>
      <c r="H45" s="59"/>
      <c r="I45" s="59"/>
      <c r="J45" s="59"/>
      <c r="K45" s="59"/>
      <c r="L45" s="59"/>
      <c r="M45" s="59"/>
      <c r="N45" s="59"/>
      <c r="O45" s="59"/>
      <c r="P45" s="59"/>
      <c r="Q45" s="59"/>
      <c r="R45" s="59"/>
      <c r="S45" s="59"/>
      <c r="T45" s="59"/>
      <c r="U45" s="59"/>
      <c r="V45" s="59"/>
      <c r="W45" s="59">
        <v>19274</v>
      </c>
      <c r="X45" s="59">
        <v>27868</v>
      </c>
      <c r="Y45" s="59">
        <v>27491</v>
      </c>
      <c r="Z45" s="59">
        <v>26673</v>
      </c>
      <c r="AA45" s="59">
        <v>19398</v>
      </c>
      <c r="AB45" s="59">
        <v>45003</v>
      </c>
      <c r="AC45" s="59">
        <v>55815</v>
      </c>
      <c r="AD45" s="59">
        <v>50638</v>
      </c>
      <c r="AE45" s="59">
        <v>18235</v>
      </c>
      <c r="AF45" s="59">
        <v>34167</v>
      </c>
      <c r="AG45" s="59">
        <v>41412</v>
      </c>
      <c r="AH45" s="59">
        <v>37960</v>
      </c>
      <c r="AI45" s="59">
        <v>19443</v>
      </c>
      <c r="AJ45" s="220">
        <v>42862</v>
      </c>
      <c r="AK45"/>
    </row>
    <row r="46" spans="2:39" ht="15" outlineLevel="1" x14ac:dyDescent="0.25">
      <c r="B46" s="24" t="s">
        <v>116</v>
      </c>
      <c r="C46" s="24" t="s">
        <v>18</v>
      </c>
      <c r="D46" s="59"/>
      <c r="E46" s="59" t="s">
        <v>100</v>
      </c>
      <c r="F46" s="59" t="s">
        <v>100</v>
      </c>
      <c r="G46" s="59"/>
      <c r="H46" s="59" t="s">
        <v>100</v>
      </c>
      <c r="I46" s="59" t="s">
        <v>100</v>
      </c>
      <c r="J46" s="59" t="s">
        <v>100</v>
      </c>
      <c r="K46" s="59"/>
      <c r="L46" s="59" t="s">
        <v>100</v>
      </c>
      <c r="M46" s="59">
        <v>3001</v>
      </c>
      <c r="N46" s="59">
        <v>3067</v>
      </c>
      <c r="O46" s="59">
        <v>5036</v>
      </c>
      <c r="P46" s="59">
        <v>5148</v>
      </c>
      <c r="Q46" s="59">
        <v>5262</v>
      </c>
      <c r="R46" s="59">
        <v>20320</v>
      </c>
      <c r="S46" s="59">
        <v>4986</v>
      </c>
      <c r="T46" s="59">
        <v>15002</v>
      </c>
      <c r="U46" s="59">
        <v>10110</v>
      </c>
      <c r="V46" s="59">
        <v>10003</v>
      </c>
      <c r="W46" s="59"/>
      <c r="X46" s="59"/>
      <c r="Y46" s="59"/>
      <c r="Z46" s="59"/>
      <c r="AA46" s="59"/>
      <c r="AB46" s="59"/>
      <c r="AC46" s="59"/>
      <c r="AD46" s="59"/>
      <c r="AE46" s="59"/>
      <c r="AF46" s="59"/>
      <c r="AG46" s="59"/>
      <c r="AH46" s="59"/>
      <c r="AI46" s="59"/>
      <c r="AJ46"/>
      <c r="AK46"/>
    </row>
    <row r="47" spans="2:39" ht="15" outlineLevel="1" x14ac:dyDescent="0.25">
      <c r="B47" s="57" t="s">
        <v>126</v>
      </c>
      <c r="C47" s="24" t="s">
        <v>18</v>
      </c>
      <c r="D47" s="59"/>
      <c r="E47" s="59">
        <v>23852</v>
      </c>
      <c r="F47" s="59" t="s">
        <v>100</v>
      </c>
      <c r="G47" s="59">
        <v>18322</v>
      </c>
      <c r="H47" s="59">
        <v>24298</v>
      </c>
      <c r="I47" s="59">
        <v>21957</v>
      </c>
      <c r="J47" s="59">
        <v>21526</v>
      </c>
      <c r="K47" s="59">
        <v>12258</v>
      </c>
      <c r="L47" s="59">
        <v>30168</v>
      </c>
      <c r="M47" s="59">
        <v>18273</v>
      </c>
      <c r="N47" s="59">
        <v>14737</v>
      </c>
      <c r="O47" s="59">
        <v>8159</v>
      </c>
      <c r="P47" s="59">
        <v>11453</v>
      </c>
      <c r="Q47" s="59">
        <v>19974</v>
      </c>
      <c r="R47" s="59">
        <v>63246</v>
      </c>
      <c r="S47" s="59">
        <v>7823</v>
      </c>
      <c r="T47" s="59">
        <v>33503</v>
      </c>
      <c r="U47" s="59">
        <v>36129</v>
      </c>
      <c r="V47" s="59">
        <v>39354</v>
      </c>
      <c r="W47" s="59"/>
      <c r="X47" s="59"/>
      <c r="Y47" s="59"/>
      <c r="Z47" s="59"/>
      <c r="AA47" s="59"/>
      <c r="AB47" s="59"/>
      <c r="AC47" s="59"/>
      <c r="AD47" s="59"/>
      <c r="AE47" s="59"/>
      <c r="AF47" s="59"/>
      <c r="AG47" s="59"/>
      <c r="AH47" s="59"/>
      <c r="AI47" s="59"/>
      <c r="AJ47"/>
      <c r="AK47"/>
    </row>
    <row r="48" spans="2:39" ht="15" outlineLevel="1" x14ac:dyDescent="0.25">
      <c r="B48" s="82" t="s">
        <v>35</v>
      </c>
      <c r="C48" s="25" t="s">
        <v>18</v>
      </c>
      <c r="D48" s="63"/>
      <c r="E48" s="63">
        <f>SUM(E37:E47)</f>
        <v>448045</v>
      </c>
      <c r="F48" s="63"/>
      <c r="G48" s="63">
        <f t="shared" ref="G48:X48" si="2">SUM(G37:G47)</f>
        <v>457387</v>
      </c>
      <c r="H48" s="63">
        <f t="shared" si="2"/>
        <v>419213</v>
      </c>
      <c r="I48" s="63">
        <f t="shared" si="2"/>
        <v>389509</v>
      </c>
      <c r="J48" s="63">
        <f t="shared" si="2"/>
        <v>494877</v>
      </c>
      <c r="K48" s="63">
        <f t="shared" si="2"/>
        <v>478286</v>
      </c>
      <c r="L48" s="63">
        <f t="shared" si="2"/>
        <v>530537</v>
      </c>
      <c r="M48" s="63">
        <f t="shared" si="2"/>
        <v>465533</v>
      </c>
      <c r="N48" s="63">
        <f t="shared" si="2"/>
        <v>508400</v>
      </c>
      <c r="O48" s="63">
        <f t="shared" si="2"/>
        <v>539045</v>
      </c>
      <c r="P48" s="63">
        <f t="shared" si="2"/>
        <v>562885</v>
      </c>
      <c r="Q48" s="63">
        <f t="shared" si="2"/>
        <v>602310</v>
      </c>
      <c r="R48" s="63">
        <f t="shared" si="2"/>
        <v>670272</v>
      </c>
      <c r="S48" s="63">
        <f t="shared" si="2"/>
        <v>770543</v>
      </c>
      <c r="T48" s="63">
        <f t="shared" si="2"/>
        <v>863063</v>
      </c>
      <c r="U48" s="63">
        <f t="shared" si="2"/>
        <v>1028510</v>
      </c>
      <c r="V48" s="63">
        <f t="shared" si="2"/>
        <v>919377</v>
      </c>
      <c r="W48" s="63">
        <f t="shared" si="2"/>
        <v>946870</v>
      </c>
      <c r="X48" s="63">
        <f t="shared" si="2"/>
        <v>1022224</v>
      </c>
      <c r="Y48" s="63">
        <f t="shared" ref="Y48:AI48" si="3">SUM(Y37:Y47)</f>
        <v>1190395</v>
      </c>
      <c r="Z48" s="63">
        <f t="shared" si="3"/>
        <v>1038130</v>
      </c>
      <c r="AA48" s="63">
        <f t="shared" si="3"/>
        <v>1290336</v>
      </c>
      <c r="AB48" s="62">
        <f t="shared" si="3"/>
        <v>1367816</v>
      </c>
      <c r="AC48" s="62">
        <f t="shared" si="3"/>
        <v>1090137</v>
      </c>
      <c r="AD48" s="62">
        <f>SUM(AD37:AD47)</f>
        <v>1165850</v>
      </c>
      <c r="AE48" s="62">
        <f t="shared" si="3"/>
        <v>1626539</v>
      </c>
      <c r="AF48" s="62">
        <f t="shared" si="3"/>
        <v>1551676</v>
      </c>
      <c r="AG48" s="62">
        <f t="shared" si="3"/>
        <v>1861148</v>
      </c>
      <c r="AH48" s="62">
        <f t="shared" si="3"/>
        <v>1647324</v>
      </c>
      <c r="AI48" s="62">
        <f t="shared" si="3"/>
        <v>1578568</v>
      </c>
      <c r="AJ48" s="62">
        <f>SUM(AJ37:AJ47)</f>
        <v>1668368</v>
      </c>
      <c r="AK48"/>
    </row>
    <row r="49" spans="2:42" ht="15" outlineLevel="1" x14ac:dyDescent="0.25">
      <c r="B49" s="89" t="s">
        <v>120</v>
      </c>
      <c r="C49" s="24" t="s">
        <v>18</v>
      </c>
      <c r="D49" s="64"/>
      <c r="E49" s="64">
        <v>40162</v>
      </c>
      <c r="F49" s="64"/>
      <c r="G49" s="64">
        <v>5578</v>
      </c>
      <c r="H49" s="64">
        <v>5318</v>
      </c>
      <c r="I49" s="64">
        <v>1595</v>
      </c>
      <c r="J49" s="64">
        <v>1175</v>
      </c>
      <c r="K49" s="64">
        <v>19734</v>
      </c>
      <c r="L49" s="64">
        <v>1094</v>
      </c>
      <c r="M49" s="64">
        <v>997</v>
      </c>
      <c r="N49" s="64">
        <v>942</v>
      </c>
      <c r="O49" s="64">
        <v>3244</v>
      </c>
      <c r="P49" s="64">
        <v>2975</v>
      </c>
      <c r="Q49" s="64">
        <v>2725</v>
      </c>
      <c r="R49" s="64">
        <v>2414</v>
      </c>
      <c r="S49" s="31">
        <v>1213</v>
      </c>
      <c r="T49" s="31">
        <v>850</v>
      </c>
      <c r="U49" s="31">
        <v>850</v>
      </c>
      <c r="V49" s="31">
        <v>850</v>
      </c>
      <c r="W49" s="31">
        <v>850</v>
      </c>
      <c r="X49" s="169">
        <v>850</v>
      </c>
      <c r="Y49" s="169"/>
      <c r="Z49" s="169"/>
      <c r="AA49" s="19">
        <v>372</v>
      </c>
      <c r="AB49" s="59">
        <v>372</v>
      </c>
      <c r="AC49" s="59"/>
      <c r="AD49" s="59"/>
      <c r="AE49" s="59"/>
      <c r="AF49" s="59"/>
      <c r="AG49" s="59"/>
      <c r="AH49" s="59"/>
      <c r="AI49" s="59">
        <v>3</v>
      </c>
      <c r="AJ49">
        <v>27</v>
      </c>
      <c r="AK49"/>
    </row>
    <row r="50" spans="2:42" ht="15" outlineLevel="1" x14ac:dyDescent="0.25">
      <c r="B50" s="25" t="s">
        <v>36</v>
      </c>
      <c r="C50" s="25" t="s">
        <v>18</v>
      </c>
      <c r="D50" s="62"/>
      <c r="E50" s="62">
        <f>SUM(E48+E34+E49)</f>
        <v>1057915</v>
      </c>
      <c r="F50" s="62"/>
      <c r="G50" s="62">
        <f t="shared" ref="G50:N50" si="4">SUM(G48+G34+G49)</f>
        <v>1482111</v>
      </c>
      <c r="H50" s="62">
        <f t="shared" si="4"/>
        <v>1352035</v>
      </c>
      <c r="I50" s="62">
        <f t="shared" si="4"/>
        <v>1578514</v>
      </c>
      <c r="J50" s="62">
        <f t="shared" si="4"/>
        <v>1683412</v>
      </c>
      <c r="K50" s="62">
        <f t="shared" si="4"/>
        <v>1674133</v>
      </c>
      <c r="L50" s="62">
        <f t="shared" si="4"/>
        <v>1683472</v>
      </c>
      <c r="M50" s="62">
        <f t="shared" si="4"/>
        <v>1622210</v>
      </c>
      <c r="N50" s="62">
        <f t="shared" si="4"/>
        <v>1665339</v>
      </c>
      <c r="O50" s="62">
        <f>SUM(O34,O48:O49)</f>
        <v>1689279</v>
      </c>
      <c r="P50" s="62">
        <f>SUM(P48+P34+P49)</f>
        <v>1702599</v>
      </c>
      <c r="Q50" s="62">
        <f>SUM(Q48+Q34+Q49)</f>
        <v>1735283</v>
      </c>
      <c r="R50" s="62">
        <f>SUM(R48+R34+R49)</f>
        <v>1806614</v>
      </c>
      <c r="S50" s="62">
        <f t="shared" ref="S50:Z50" si="5">SUM(S34,S48:S49)</f>
        <v>1951504</v>
      </c>
      <c r="T50" s="62">
        <f t="shared" si="5"/>
        <v>2060495</v>
      </c>
      <c r="U50" s="62">
        <f t="shared" si="5"/>
        <v>2220373</v>
      </c>
      <c r="V50" s="62">
        <f t="shared" si="5"/>
        <v>2144094</v>
      </c>
      <c r="W50" s="62">
        <f>SUM(W34,W48:W49)</f>
        <v>2222533</v>
      </c>
      <c r="X50" s="62">
        <f t="shared" si="5"/>
        <v>2300389</v>
      </c>
      <c r="Y50" s="62">
        <f t="shared" si="5"/>
        <v>2427291</v>
      </c>
      <c r="Z50" s="62">
        <f t="shared" si="5"/>
        <v>2287729</v>
      </c>
      <c r="AA50" s="62">
        <f t="shared" ref="AA50:AI50" si="6">SUM(AA34,AA48:AA49)</f>
        <v>2599292</v>
      </c>
      <c r="AB50" s="62">
        <f t="shared" si="6"/>
        <v>2715361</v>
      </c>
      <c r="AC50" s="62">
        <f t="shared" si="6"/>
        <v>2511172</v>
      </c>
      <c r="AD50" s="62">
        <f t="shared" si="6"/>
        <v>3331448</v>
      </c>
      <c r="AE50" s="62">
        <f t="shared" si="6"/>
        <v>3821881</v>
      </c>
      <c r="AF50" s="62">
        <f t="shared" si="6"/>
        <v>3763732</v>
      </c>
      <c r="AG50" s="62">
        <f t="shared" si="6"/>
        <v>4072708</v>
      </c>
      <c r="AH50" s="62">
        <f t="shared" si="6"/>
        <v>3952965</v>
      </c>
      <c r="AI50" s="62">
        <f t="shared" si="6"/>
        <v>4027236</v>
      </c>
      <c r="AJ50" s="62">
        <f>SUM(AJ34,AJ48:AJ49)</f>
        <v>4126001</v>
      </c>
      <c r="AK50"/>
      <c r="AL50" s="24"/>
    </row>
    <row r="51" spans="2:42" ht="15" x14ac:dyDescent="0.25">
      <c r="B51" s="26"/>
      <c r="C51" s="26"/>
      <c r="D51" s="65"/>
      <c r="E51" s="65"/>
      <c r="F51" s="65"/>
      <c r="G51" s="65"/>
      <c r="H51" s="65"/>
      <c r="I51" s="65"/>
      <c r="J51" s="65"/>
      <c r="K51" s="65"/>
      <c r="L51" s="65"/>
      <c r="M51" s="65"/>
      <c r="N51" s="65"/>
      <c r="O51" s="65"/>
      <c r="P51" s="65"/>
      <c r="Q51" s="65"/>
      <c r="R51" s="65"/>
      <c r="S51" s="28"/>
      <c r="T51" s="28"/>
      <c r="U51" s="28"/>
      <c r="V51" s="28"/>
      <c r="W51" s="28"/>
      <c r="X51" s="28"/>
      <c r="AB51" s="59"/>
      <c r="AC51" s="59"/>
      <c r="AD51" s="59"/>
      <c r="AE51" s="59"/>
      <c r="AF51" s="59"/>
      <c r="AG51" s="59"/>
      <c r="AH51" s="59"/>
      <c r="AI51" s="59"/>
      <c r="AJ51"/>
      <c r="AK51"/>
      <c r="AL51" s="24"/>
    </row>
    <row r="52" spans="2:42" ht="15" x14ac:dyDescent="0.25">
      <c r="B52" s="30" t="s">
        <v>37</v>
      </c>
      <c r="C52" s="24"/>
      <c r="D52" s="59"/>
      <c r="E52" s="59"/>
      <c r="F52" s="59"/>
      <c r="G52" s="59"/>
      <c r="H52" s="59"/>
      <c r="I52" s="59"/>
      <c r="J52" s="59"/>
      <c r="K52" s="59"/>
      <c r="L52" s="59"/>
      <c r="M52" s="59"/>
      <c r="N52" s="59"/>
      <c r="O52" s="59"/>
      <c r="P52" s="59"/>
      <c r="Q52" s="59"/>
      <c r="R52" s="59"/>
      <c r="S52" s="24"/>
      <c r="T52" s="24"/>
      <c r="U52" s="24"/>
      <c r="V52" s="24"/>
      <c r="W52" s="24"/>
      <c r="X52" s="24"/>
      <c r="AB52" s="59"/>
      <c r="AC52" s="59"/>
      <c r="AD52" s="59"/>
      <c r="AE52" s="59"/>
      <c r="AF52" s="59"/>
      <c r="AG52" s="59"/>
      <c r="AH52" s="59"/>
      <c r="AI52" s="59"/>
      <c r="AJ52"/>
      <c r="AK52"/>
      <c r="AM52" s="24"/>
    </row>
    <row r="53" spans="2:42" ht="15" outlineLevel="1" x14ac:dyDescent="0.25">
      <c r="B53" s="57" t="s">
        <v>38</v>
      </c>
      <c r="C53" s="24" t="s">
        <v>18</v>
      </c>
      <c r="D53" s="59"/>
      <c r="E53" s="59">
        <v>37051</v>
      </c>
      <c r="F53" s="59" t="s">
        <v>100</v>
      </c>
      <c r="G53" s="59">
        <v>37051</v>
      </c>
      <c r="H53" s="59">
        <v>37051</v>
      </c>
      <c r="I53" s="59">
        <v>37051</v>
      </c>
      <c r="J53" s="59">
        <v>37051</v>
      </c>
      <c r="K53" s="59">
        <v>37051</v>
      </c>
      <c r="L53" s="59">
        <v>37051</v>
      </c>
      <c r="M53" s="59">
        <v>37051</v>
      </c>
      <c r="N53" s="59">
        <v>37051</v>
      </c>
      <c r="O53" s="59">
        <v>37051</v>
      </c>
      <c r="P53" s="59">
        <v>37051</v>
      </c>
      <c r="Q53" s="59">
        <v>37051</v>
      </c>
      <c r="R53" s="59">
        <v>37051</v>
      </c>
      <c r="S53" s="59">
        <v>37051</v>
      </c>
      <c r="T53" s="59">
        <v>37051</v>
      </c>
      <c r="U53" s="59">
        <v>37051</v>
      </c>
      <c r="V53" s="59">
        <v>37051</v>
      </c>
      <c r="W53" s="59">
        <v>37051</v>
      </c>
      <c r="X53" s="59">
        <v>37051</v>
      </c>
      <c r="Y53" s="59">
        <v>37051</v>
      </c>
      <c r="Z53" s="59">
        <v>37051</v>
      </c>
      <c r="AA53" s="59">
        <v>37051</v>
      </c>
      <c r="AB53" s="59">
        <v>37051</v>
      </c>
      <c r="AC53" s="59">
        <v>37051</v>
      </c>
      <c r="AD53" s="59">
        <v>37051</v>
      </c>
      <c r="AE53" s="59">
        <v>37051</v>
      </c>
      <c r="AF53" s="59">
        <v>37051</v>
      </c>
      <c r="AG53" s="59">
        <v>37051</v>
      </c>
      <c r="AH53" s="59">
        <v>37051</v>
      </c>
      <c r="AI53" s="59">
        <v>37051</v>
      </c>
      <c r="AJ53" s="59">
        <v>37051</v>
      </c>
      <c r="AK53"/>
      <c r="AM53" s="24"/>
    </row>
    <row r="54" spans="2:42" ht="15" outlineLevel="1" x14ac:dyDescent="0.25">
      <c r="B54" s="57" t="s">
        <v>121</v>
      </c>
      <c r="C54" s="24" t="s">
        <v>18</v>
      </c>
      <c r="D54" s="67"/>
      <c r="E54" s="66">
        <v>4785</v>
      </c>
      <c r="F54" s="67" t="s">
        <v>100</v>
      </c>
      <c r="G54" s="67">
        <v>4420</v>
      </c>
      <c r="H54" s="59">
        <v>4420</v>
      </c>
      <c r="I54" s="59">
        <v>4420</v>
      </c>
      <c r="J54" s="59">
        <v>4420</v>
      </c>
      <c r="K54" s="59">
        <v>4420</v>
      </c>
      <c r="L54" s="59">
        <v>4420</v>
      </c>
      <c r="M54" s="59">
        <v>4420</v>
      </c>
      <c r="N54" s="59">
        <v>4420</v>
      </c>
      <c r="O54" s="59">
        <v>4461</v>
      </c>
      <c r="P54" s="59">
        <v>4461</v>
      </c>
      <c r="Q54" s="59">
        <v>2422</v>
      </c>
      <c r="R54" s="59">
        <v>2437</v>
      </c>
      <c r="S54" s="59">
        <v>2539</v>
      </c>
      <c r="T54" s="59">
        <v>2539</v>
      </c>
      <c r="U54" s="59">
        <v>2539</v>
      </c>
      <c r="V54" s="59">
        <v>2539</v>
      </c>
      <c r="W54" s="59">
        <v>2539</v>
      </c>
      <c r="X54" s="59">
        <v>2539</v>
      </c>
      <c r="Y54" s="59">
        <v>2539</v>
      </c>
      <c r="Z54" s="59">
        <v>2539</v>
      </c>
      <c r="AA54" s="59">
        <v>2539</v>
      </c>
      <c r="AB54" s="59">
        <v>2539</v>
      </c>
      <c r="AC54" s="59">
        <v>2539</v>
      </c>
      <c r="AD54" s="59">
        <v>2539</v>
      </c>
      <c r="AE54" s="59">
        <v>2539</v>
      </c>
      <c r="AF54" s="59">
        <v>2539</v>
      </c>
      <c r="AG54" s="59">
        <v>2539</v>
      </c>
      <c r="AH54" s="59">
        <v>2539</v>
      </c>
      <c r="AI54" s="59">
        <v>2539</v>
      </c>
      <c r="AJ54" s="59">
        <v>2539</v>
      </c>
      <c r="AK54"/>
    </row>
    <row r="55" spans="2:42" ht="15" outlineLevel="1" x14ac:dyDescent="0.25">
      <c r="B55" s="57" t="s">
        <v>0</v>
      </c>
      <c r="C55" s="24" t="s">
        <v>18</v>
      </c>
      <c r="D55" s="59"/>
      <c r="E55" s="59">
        <v>-979</v>
      </c>
      <c r="F55" s="59" t="s">
        <v>100</v>
      </c>
      <c r="G55" s="59">
        <v>21</v>
      </c>
      <c r="H55" s="59">
        <v>796</v>
      </c>
      <c r="I55" s="59">
        <v>1241</v>
      </c>
      <c r="J55" s="59">
        <v>1165</v>
      </c>
      <c r="K55" s="59">
        <v>1647</v>
      </c>
      <c r="L55" s="59">
        <v>1762</v>
      </c>
      <c r="M55" s="59">
        <v>1527</v>
      </c>
      <c r="N55" s="59">
        <v>1711</v>
      </c>
      <c r="O55" s="59">
        <v>1666</v>
      </c>
      <c r="P55" s="59">
        <v>1697</v>
      </c>
      <c r="Q55" s="59">
        <v>1753</v>
      </c>
      <c r="R55" s="59">
        <v>1738</v>
      </c>
      <c r="S55" s="59">
        <v>1866</v>
      </c>
      <c r="T55" s="59">
        <v>2724</v>
      </c>
      <c r="U55" s="59">
        <v>2311</v>
      </c>
      <c r="V55" s="59">
        <v>2334</v>
      </c>
      <c r="W55" s="59">
        <v>1874</v>
      </c>
      <c r="X55" s="59">
        <v>1401</v>
      </c>
      <c r="Y55" s="59">
        <v>1456</v>
      </c>
      <c r="Z55" s="59">
        <v>1974</v>
      </c>
      <c r="AA55" s="59">
        <v>1228</v>
      </c>
      <c r="AB55" s="59">
        <v>967</v>
      </c>
      <c r="AC55" s="59">
        <v>2717</v>
      </c>
      <c r="AD55" s="59">
        <v>2178</v>
      </c>
      <c r="AE55" s="59">
        <v>2282</v>
      </c>
      <c r="AF55" s="59">
        <v>1908</v>
      </c>
      <c r="AG55" s="59">
        <v>2329</v>
      </c>
      <c r="AH55" s="59">
        <v>3155</v>
      </c>
      <c r="AI55" s="59">
        <v>1955</v>
      </c>
      <c r="AJ55" s="59">
        <v>1200</v>
      </c>
      <c r="AK55"/>
    </row>
    <row r="56" spans="2:42" ht="15" outlineLevel="1" x14ac:dyDescent="0.25">
      <c r="B56" s="87" t="s">
        <v>39</v>
      </c>
      <c r="C56" s="32" t="s">
        <v>18</v>
      </c>
      <c r="D56" s="61"/>
      <c r="E56" s="61">
        <v>543620</v>
      </c>
      <c r="F56" s="61" t="s">
        <v>100</v>
      </c>
      <c r="G56" s="61">
        <v>834964</v>
      </c>
      <c r="H56" s="61">
        <v>800926</v>
      </c>
      <c r="I56" s="61">
        <v>846772</v>
      </c>
      <c r="J56" s="61">
        <v>884906</v>
      </c>
      <c r="K56" s="61">
        <v>944917</v>
      </c>
      <c r="L56" s="61">
        <v>971056</v>
      </c>
      <c r="M56" s="61">
        <v>904341</v>
      </c>
      <c r="N56" s="61">
        <v>985514</v>
      </c>
      <c r="O56" s="61">
        <v>1029477</v>
      </c>
      <c r="P56" s="61">
        <v>1032783</v>
      </c>
      <c r="Q56" s="61">
        <v>929344</v>
      </c>
      <c r="R56" s="61">
        <v>905151</v>
      </c>
      <c r="S56" s="61">
        <v>1148387</v>
      </c>
      <c r="T56" s="61">
        <v>1185709</v>
      </c>
      <c r="U56" s="61">
        <v>1042183</v>
      </c>
      <c r="V56" s="61">
        <v>1165871</v>
      </c>
      <c r="W56" s="61">
        <v>1268580</v>
      </c>
      <c r="X56" s="61">
        <v>1371935</v>
      </c>
      <c r="Y56" s="61">
        <v>1247836</v>
      </c>
      <c r="Z56" s="61">
        <v>1300732</v>
      </c>
      <c r="AA56" s="61">
        <v>1487091</v>
      </c>
      <c r="AB56" s="61">
        <v>1533976</v>
      </c>
      <c r="AC56" s="61">
        <v>1365445</v>
      </c>
      <c r="AD56" s="61">
        <v>1777346</v>
      </c>
      <c r="AE56" s="61">
        <v>2044521</v>
      </c>
      <c r="AF56" s="61">
        <v>2070210</v>
      </c>
      <c r="AG56" s="61">
        <v>1918731</v>
      </c>
      <c r="AH56" s="61">
        <v>2134153</v>
      </c>
      <c r="AI56" s="61">
        <v>2286398</v>
      </c>
      <c r="AJ56" s="61">
        <v>2278517</v>
      </c>
      <c r="AK56"/>
      <c r="AN56" s="24"/>
      <c r="AO56" s="24"/>
      <c r="AP56" s="24"/>
    </row>
    <row r="57" spans="2:42" ht="15" outlineLevel="1" x14ac:dyDescent="0.25">
      <c r="B57" s="57"/>
      <c r="C57" s="24"/>
      <c r="D57" s="59"/>
      <c r="E57" s="59"/>
      <c r="F57" s="59"/>
      <c r="G57" s="59"/>
      <c r="H57" s="59"/>
      <c r="I57" s="59"/>
      <c r="J57" s="59"/>
      <c r="K57" s="59"/>
      <c r="L57" s="59"/>
      <c r="M57" s="59"/>
      <c r="N57" s="59"/>
      <c r="O57" s="59"/>
      <c r="P57" s="59"/>
      <c r="Q57" s="59"/>
      <c r="R57" s="59"/>
      <c r="S57" s="24"/>
      <c r="T57" s="24"/>
      <c r="U57" s="24"/>
      <c r="V57" s="24"/>
      <c r="W57" s="24"/>
      <c r="X57" s="24"/>
      <c r="AA57" s="55"/>
      <c r="AB57" s="59"/>
      <c r="AC57" s="59"/>
      <c r="AD57" s="59"/>
      <c r="AE57" s="59"/>
      <c r="AF57" s="59"/>
      <c r="AG57" s="59"/>
      <c r="AH57" s="59"/>
      <c r="AI57" s="59"/>
      <c r="AJ57"/>
      <c r="AK57"/>
      <c r="AN57" s="24"/>
      <c r="AO57" s="24"/>
      <c r="AP57" s="24"/>
    </row>
    <row r="58" spans="2:42" s="24" customFormat="1" ht="15" outlineLevel="1" x14ac:dyDescent="0.25">
      <c r="B58" s="88" t="s">
        <v>369</v>
      </c>
      <c r="C58" s="26" t="s">
        <v>18</v>
      </c>
      <c r="D58" s="59"/>
      <c r="E58" s="60">
        <f>SUM(E53:E56)</f>
        <v>584477</v>
      </c>
      <c r="F58" s="60" t="s">
        <v>100</v>
      </c>
      <c r="G58" s="60">
        <f t="shared" ref="G58:R58" si="7">SUM(G53:G56)</f>
        <v>876456</v>
      </c>
      <c r="H58" s="60">
        <f t="shared" si="7"/>
        <v>843193</v>
      </c>
      <c r="I58" s="60">
        <f t="shared" si="7"/>
        <v>889484</v>
      </c>
      <c r="J58" s="60">
        <f t="shared" si="7"/>
        <v>927542</v>
      </c>
      <c r="K58" s="60">
        <f t="shared" si="7"/>
        <v>988035</v>
      </c>
      <c r="L58" s="60">
        <f t="shared" si="7"/>
        <v>1014289</v>
      </c>
      <c r="M58" s="60">
        <f t="shared" si="7"/>
        <v>947339</v>
      </c>
      <c r="N58" s="60">
        <f t="shared" si="7"/>
        <v>1028696</v>
      </c>
      <c r="O58" s="60">
        <f t="shared" si="7"/>
        <v>1072655</v>
      </c>
      <c r="P58" s="60">
        <f t="shared" si="7"/>
        <v>1075992</v>
      </c>
      <c r="Q58" s="60">
        <f t="shared" si="7"/>
        <v>970570</v>
      </c>
      <c r="R58" s="60">
        <f t="shared" si="7"/>
        <v>946377</v>
      </c>
      <c r="S58" s="60">
        <f t="shared" ref="S58:T58" si="8">SUM(S53:S56)</f>
        <v>1189843</v>
      </c>
      <c r="T58" s="60">
        <f t="shared" si="8"/>
        <v>1228023</v>
      </c>
      <c r="U58" s="60">
        <f>SUM(U53:U56)</f>
        <v>1084084</v>
      </c>
      <c r="V58" s="60">
        <f>SUM(V53:V56)</f>
        <v>1207795</v>
      </c>
      <c r="W58" s="60">
        <v>1310044</v>
      </c>
      <c r="X58" s="60">
        <f t="shared" ref="X58:AF58" si="9">SUM(X53:X56)</f>
        <v>1412926</v>
      </c>
      <c r="Y58" s="60">
        <f t="shared" si="9"/>
        <v>1288882</v>
      </c>
      <c r="Z58" s="60">
        <f t="shared" si="9"/>
        <v>1342296</v>
      </c>
      <c r="AA58" s="60">
        <f t="shared" si="9"/>
        <v>1527909</v>
      </c>
      <c r="AB58" s="60">
        <f t="shared" si="9"/>
        <v>1574533</v>
      </c>
      <c r="AC58" s="60">
        <f t="shared" si="9"/>
        <v>1407752</v>
      </c>
      <c r="AD58" s="60">
        <f t="shared" si="9"/>
        <v>1819114</v>
      </c>
      <c r="AE58" s="60">
        <f t="shared" si="9"/>
        <v>2086393</v>
      </c>
      <c r="AF58" s="60">
        <f t="shared" si="9"/>
        <v>2111708</v>
      </c>
      <c r="AG58" s="60">
        <v>1960650</v>
      </c>
      <c r="AH58" s="60">
        <v>2176898</v>
      </c>
      <c r="AI58" s="60">
        <v>2327943</v>
      </c>
      <c r="AJ58" s="60">
        <v>2319307</v>
      </c>
      <c r="AK58"/>
      <c r="AL58" s="2"/>
      <c r="AM58" s="2"/>
      <c r="AN58" s="2"/>
      <c r="AO58" s="2"/>
      <c r="AP58" s="2"/>
    </row>
    <row r="59" spans="2:42" s="24" customFormat="1" ht="15" outlineLevel="1" x14ac:dyDescent="0.25">
      <c r="B59" s="57" t="s">
        <v>122</v>
      </c>
      <c r="C59" s="24" t="s">
        <v>18</v>
      </c>
      <c r="D59" s="61"/>
      <c r="E59" s="59">
        <v>91997</v>
      </c>
      <c r="F59" s="59" t="s">
        <v>100</v>
      </c>
      <c r="G59" s="59">
        <v>168004</v>
      </c>
      <c r="H59" s="59">
        <v>132483</v>
      </c>
      <c r="I59" s="59">
        <v>251118</v>
      </c>
      <c r="J59" s="59">
        <v>251009</v>
      </c>
      <c r="K59" s="59">
        <v>254119</v>
      </c>
      <c r="L59" s="59">
        <v>232840</v>
      </c>
      <c r="M59" s="59">
        <v>236843</v>
      </c>
      <c r="N59" s="59">
        <v>246355</v>
      </c>
      <c r="O59" s="59">
        <v>267137</v>
      </c>
      <c r="P59" s="59">
        <v>249878</v>
      </c>
      <c r="Q59" s="59">
        <v>257560</v>
      </c>
      <c r="R59" s="59">
        <v>302504</v>
      </c>
      <c r="S59" s="59">
        <v>347258</v>
      </c>
      <c r="T59" s="59">
        <v>295356</v>
      </c>
      <c r="U59" s="59">
        <v>312226</v>
      </c>
      <c r="V59" s="59">
        <v>327451</v>
      </c>
      <c r="W59" s="59">
        <v>386459</v>
      </c>
      <c r="X59" s="59">
        <v>325419</v>
      </c>
      <c r="Y59" s="59">
        <v>361319</v>
      </c>
      <c r="Z59" s="59">
        <v>387063</v>
      </c>
      <c r="AA59" s="59">
        <v>480358</v>
      </c>
      <c r="AB59" s="59">
        <v>445165</v>
      </c>
      <c r="AC59" s="59">
        <v>488498</v>
      </c>
      <c r="AD59" s="59">
        <v>812166</v>
      </c>
      <c r="AE59" s="59">
        <v>911158</v>
      </c>
      <c r="AF59" s="59">
        <v>815960</v>
      </c>
      <c r="AG59" s="59">
        <v>870694</v>
      </c>
      <c r="AH59" s="59">
        <v>924955</v>
      </c>
      <c r="AI59" s="59">
        <v>913762</v>
      </c>
      <c r="AJ59" s="224">
        <v>863570</v>
      </c>
      <c r="AK59"/>
      <c r="AL59" s="2"/>
      <c r="AM59" s="2"/>
      <c r="AN59" s="2"/>
      <c r="AO59" s="2"/>
      <c r="AP59" s="2"/>
    </row>
    <row r="60" spans="2:42" ht="15" outlineLevel="1" x14ac:dyDescent="0.25">
      <c r="B60" s="25" t="s">
        <v>40</v>
      </c>
      <c r="C60" s="25" t="s">
        <v>18</v>
      </c>
      <c r="D60" s="62"/>
      <c r="E60" s="62">
        <f>SUM(E58:E59)</f>
        <v>676474</v>
      </c>
      <c r="F60" s="62" t="s">
        <v>100</v>
      </c>
      <c r="G60" s="62">
        <f t="shared" ref="G60:Q60" si="10">SUM(G58:G59)</f>
        <v>1044460</v>
      </c>
      <c r="H60" s="62">
        <f t="shared" si="10"/>
        <v>975676</v>
      </c>
      <c r="I60" s="62">
        <f t="shared" si="10"/>
        <v>1140602</v>
      </c>
      <c r="J60" s="62">
        <f t="shared" si="10"/>
        <v>1178551</v>
      </c>
      <c r="K60" s="62">
        <f t="shared" si="10"/>
        <v>1242154</v>
      </c>
      <c r="L60" s="62">
        <f t="shared" si="10"/>
        <v>1247129</v>
      </c>
      <c r="M60" s="62">
        <f t="shared" si="10"/>
        <v>1184182</v>
      </c>
      <c r="N60" s="62">
        <f t="shared" si="10"/>
        <v>1275051</v>
      </c>
      <c r="O60" s="62">
        <f>SUM(O58:O59)</f>
        <v>1339792</v>
      </c>
      <c r="P60" s="62">
        <f t="shared" si="10"/>
        <v>1325870</v>
      </c>
      <c r="Q60" s="62">
        <f t="shared" si="10"/>
        <v>1228130</v>
      </c>
      <c r="R60" s="62">
        <f t="shared" ref="R60:AI60" si="11">SUM(R58:R59)</f>
        <v>1248881</v>
      </c>
      <c r="S60" s="62">
        <f t="shared" si="11"/>
        <v>1537101</v>
      </c>
      <c r="T60" s="62">
        <f t="shared" si="11"/>
        <v>1523379</v>
      </c>
      <c r="U60" s="62">
        <f t="shared" si="11"/>
        <v>1396310</v>
      </c>
      <c r="V60" s="62">
        <f t="shared" si="11"/>
        <v>1535246</v>
      </c>
      <c r="W60" s="62">
        <f t="shared" si="11"/>
        <v>1696503</v>
      </c>
      <c r="X60" s="62">
        <f t="shared" si="11"/>
        <v>1738345</v>
      </c>
      <c r="Y60" s="62">
        <f t="shared" si="11"/>
        <v>1650201</v>
      </c>
      <c r="Z60" s="62">
        <f t="shared" si="11"/>
        <v>1729359</v>
      </c>
      <c r="AA60" s="62">
        <f t="shared" si="11"/>
        <v>2008267</v>
      </c>
      <c r="AB60" s="62">
        <f t="shared" si="11"/>
        <v>2019698</v>
      </c>
      <c r="AC60" s="62">
        <f t="shared" si="11"/>
        <v>1896250</v>
      </c>
      <c r="AD60" s="62">
        <f t="shared" si="11"/>
        <v>2631280</v>
      </c>
      <c r="AE60" s="62">
        <f t="shared" si="11"/>
        <v>2997551</v>
      </c>
      <c r="AF60" s="62">
        <f t="shared" si="11"/>
        <v>2927668</v>
      </c>
      <c r="AG60" s="62">
        <f t="shared" si="11"/>
        <v>2831344</v>
      </c>
      <c r="AH60" s="62">
        <f t="shared" si="11"/>
        <v>3101853</v>
      </c>
      <c r="AI60" s="62">
        <f t="shared" si="11"/>
        <v>3241705</v>
      </c>
      <c r="AJ60" s="62">
        <f>SUM(AJ58:AJ59)</f>
        <v>3182877</v>
      </c>
      <c r="AK60"/>
    </row>
    <row r="61" spans="2:42" ht="15" x14ac:dyDescent="0.25">
      <c r="B61" s="24"/>
      <c r="C61" s="24"/>
      <c r="D61" s="59"/>
      <c r="E61" s="59"/>
      <c r="F61" s="59"/>
      <c r="G61" s="59"/>
      <c r="H61" s="59"/>
      <c r="I61" s="59"/>
      <c r="J61" s="59"/>
      <c r="K61" s="59"/>
      <c r="L61" s="59"/>
      <c r="M61" s="59"/>
      <c r="N61" s="59"/>
      <c r="O61" s="59"/>
      <c r="P61" s="59"/>
      <c r="Q61" s="59"/>
      <c r="R61" s="59"/>
      <c r="S61" s="24"/>
      <c r="T61" s="24"/>
      <c r="U61" s="24"/>
      <c r="V61" s="24"/>
      <c r="W61" s="60"/>
      <c r="X61" s="24"/>
      <c r="AB61" s="59"/>
      <c r="AC61" s="59"/>
      <c r="AD61" s="59"/>
      <c r="AE61" s="59"/>
      <c r="AF61" s="59"/>
      <c r="AG61" s="59"/>
      <c r="AH61" s="59"/>
      <c r="AI61" s="59"/>
      <c r="AJ61"/>
      <c r="AK61"/>
    </row>
    <row r="62" spans="2:42" ht="15" x14ac:dyDescent="0.25">
      <c r="B62" s="30" t="s">
        <v>41</v>
      </c>
      <c r="C62" s="24"/>
      <c r="D62" s="59"/>
      <c r="E62" s="59"/>
      <c r="F62" s="59"/>
      <c r="G62" s="59"/>
      <c r="H62" s="59"/>
      <c r="I62" s="59"/>
      <c r="J62" s="59"/>
      <c r="K62" s="59"/>
      <c r="L62" s="59"/>
      <c r="M62" s="59"/>
      <c r="N62" s="59"/>
      <c r="O62" s="59"/>
      <c r="P62" s="59"/>
      <c r="Q62" s="59"/>
      <c r="R62" s="59"/>
      <c r="S62" s="24"/>
      <c r="T62" s="24"/>
      <c r="U62" s="24"/>
      <c r="V62" s="24"/>
      <c r="W62" s="24"/>
      <c r="X62" s="24"/>
      <c r="AB62" s="59"/>
      <c r="AC62" s="59"/>
      <c r="AD62" s="59"/>
      <c r="AE62" s="59"/>
      <c r="AF62" s="59"/>
      <c r="AG62" s="59"/>
      <c r="AH62" s="59"/>
      <c r="AI62" s="59"/>
      <c r="AJ62"/>
      <c r="AK62"/>
    </row>
    <row r="63" spans="2:42" ht="15" outlineLevel="1" x14ac:dyDescent="0.25">
      <c r="B63" s="30" t="s">
        <v>42</v>
      </c>
      <c r="C63" s="24"/>
      <c r="D63" s="59"/>
      <c r="E63" s="59"/>
      <c r="F63" s="59"/>
      <c r="G63" s="59"/>
      <c r="H63" s="59"/>
      <c r="I63" s="59"/>
      <c r="J63" s="59"/>
      <c r="K63" s="59"/>
      <c r="L63" s="59"/>
      <c r="M63" s="59"/>
      <c r="N63" s="59"/>
      <c r="O63" s="59"/>
      <c r="P63" s="59"/>
      <c r="Q63" s="59"/>
      <c r="R63" s="59"/>
      <c r="S63" s="24"/>
      <c r="X63" s="24"/>
      <c r="AB63" s="59"/>
      <c r="AC63" s="59"/>
      <c r="AD63" s="59"/>
      <c r="AE63" s="59"/>
      <c r="AF63" s="59"/>
      <c r="AG63" s="59"/>
      <c r="AH63" s="59"/>
      <c r="AI63" s="59"/>
      <c r="AJ63"/>
      <c r="AK63"/>
    </row>
    <row r="64" spans="2:42" ht="15" outlineLevel="1" x14ac:dyDescent="0.25">
      <c r="B64" s="57" t="s">
        <v>251</v>
      </c>
      <c r="C64" s="24" t="s">
        <v>18</v>
      </c>
      <c r="D64" s="59"/>
      <c r="E64" s="59">
        <v>369</v>
      </c>
      <c r="F64" s="59"/>
      <c r="G64" s="59">
        <v>16620</v>
      </c>
      <c r="H64" s="59">
        <v>10692</v>
      </c>
      <c r="I64" s="59">
        <v>10733</v>
      </c>
      <c r="J64" s="59">
        <v>70000</v>
      </c>
      <c r="K64" s="59">
        <v>69300</v>
      </c>
      <c r="L64" s="59">
        <v>81200</v>
      </c>
      <c r="M64" s="59">
        <v>72800</v>
      </c>
      <c r="N64" s="59">
        <v>77700</v>
      </c>
      <c r="O64" s="59">
        <v>76300</v>
      </c>
      <c r="P64" s="59">
        <v>77000</v>
      </c>
      <c r="Q64" s="59">
        <v>77000</v>
      </c>
      <c r="R64" s="59">
        <v>77000</v>
      </c>
      <c r="S64" s="59">
        <v>77700</v>
      </c>
      <c r="T64" s="59">
        <v>84000</v>
      </c>
      <c r="U64" s="59">
        <v>84700</v>
      </c>
      <c r="V64" s="59">
        <v>86100</v>
      </c>
      <c r="W64" s="59">
        <v>83300</v>
      </c>
      <c r="X64" s="59">
        <v>81900</v>
      </c>
      <c r="Y64" s="59">
        <v>81900</v>
      </c>
      <c r="Z64" s="59"/>
      <c r="AA64" s="180"/>
      <c r="AB64" s="59">
        <v>29655</v>
      </c>
      <c r="AC64" s="59">
        <v>33640</v>
      </c>
      <c r="AD64" s="59">
        <v>35000</v>
      </c>
      <c r="AE64" s="59">
        <v>106401</v>
      </c>
      <c r="AF64" s="59">
        <v>114532</v>
      </c>
      <c r="AG64" s="59">
        <v>53228</v>
      </c>
      <c r="AH64" s="59">
        <v>56055</v>
      </c>
      <c r="AI64" s="59">
        <v>51587</v>
      </c>
      <c r="AJ64" s="59">
        <v>48796</v>
      </c>
      <c r="AK64"/>
    </row>
    <row r="65" spans="2:42" ht="15" outlineLevel="1" x14ac:dyDescent="0.25">
      <c r="B65" s="57" t="s">
        <v>373</v>
      </c>
      <c r="C65" s="24" t="s">
        <v>18</v>
      </c>
      <c r="D65" s="59"/>
      <c r="E65" s="59"/>
      <c r="F65" s="59"/>
      <c r="G65" s="59"/>
      <c r="H65" s="59"/>
      <c r="I65" s="59"/>
      <c r="J65" s="59"/>
      <c r="K65" s="59">
        <v>804</v>
      </c>
      <c r="L65" s="59"/>
      <c r="M65" s="59"/>
      <c r="N65" s="59"/>
      <c r="O65" s="59"/>
      <c r="P65" s="59"/>
      <c r="Q65" s="59"/>
      <c r="R65" s="59"/>
      <c r="S65" s="59"/>
      <c r="T65" s="59"/>
      <c r="U65" s="59"/>
      <c r="V65" s="59"/>
      <c r="W65" s="59"/>
      <c r="X65" s="59"/>
      <c r="Y65" s="59"/>
      <c r="Z65" s="59"/>
      <c r="AA65" s="180"/>
      <c r="AB65" s="59"/>
      <c r="AC65" s="59"/>
      <c r="AD65" s="59"/>
      <c r="AE65" s="59"/>
      <c r="AF65" s="59"/>
      <c r="AG65" s="59"/>
      <c r="AH65" s="59"/>
      <c r="AI65" s="59"/>
      <c r="AJ65" s="59"/>
      <c r="AK65"/>
    </row>
    <row r="66" spans="2:42" ht="15" outlineLevel="1" x14ac:dyDescent="0.25">
      <c r="B66" s="57" t="s">
        <v>43</v>
      </c>
      <c r="C66" s="24" t="s">
        <v>18</v>
      </c>
      <c r="D66" s="59"/>
      <c r="E66" s="59">
        <v>27581</v>
      </c>
      <c r="F66" s="59"/>
      <c r="G66" s="59">
        <v>32885</v>
      </c>
      <c r="H66" s="59">
        <v>34211</v>
      </c>
      <c r="I66" s="59">
        <v>36575</v>
      </c>
      <c r="J66" s="59">
        <v>38609</v>
      </c>
      <c r="K66" s="59">
        <v>39487</v>
      </c>
      <c r="L66" s="59">
        <v>40032</v>
      </c>
      <c r="M66" s="59">
        <v>40680</v>
      </c>
      <c r="N66" s="59">
        <v>41322</v>
      </c>
      <c r="O66" s="59">
        <v>26393</v>
      </c>
      <c r="P66" s="59">
        <v>26946</v>
      </c>
      <c r="Q66" s="59">
        <v>27505</v>
      </c>
      <c r="R66" s="59">
        <v>28070</v>
      </c>
      <c r="S66" s="59">
        <v>32192</v>
      </c>
      <c r="T66" s="59">
        <v>32903</v>
      </c>
      <c r="U66" s="59">
        <v>33622</v>
      </c>
      <c r="V66" s="59">
        <v>34350</v>
      </c>
      <c r="W66" s="59">
        <v>43475</v>
      </c>
      <c r="X66" s="59">
        <v>43678</v>
      </c>
      <c r="Y66" s="59">
        <v>44886</v>
      </c>
      <c r="Z66" s="59">
        <v>46107</v>
      </c>
      <c r="AA66" s="59">
        <v>44700</v>
      </c>
      <c r="AB66" s="59">
        <v>46103</v>
      </c>
      <c r="AC66" s="59">
        <v>47486</v>
      </c>
      <c r="AD66" s="59">
        <v>48837</v>
      </c>
      <c r="AE66" s="59">
        <v>47427</v>
      </c>
      <c r="AF66" s="59">
        <v>48812</v>
      </c>
      <c r="AG66" s="59">
        <v>50219</v>
      </c>
      <c r="AH66" s="59">
        <v>51799</v>
      </c>
      <c r="AI66" s="59">
        <v>41588</v>
      </c>
      <c r="AJ66" s="59">
        <v>53232</v>
      </c>
      <c r="AK66"/>
      <c r="AL66" s="68"/>
    </row>
    <row r="67" spans="2:42" ht="15" outlineLevel="1" x14ac:dyDescent="0.25">
      <c r="B67" s="57" t="s">
        <v>123</v>
      </c>
      <c r="C67" s="24" t="s">
        <v>18</v>
      </c>
      <c r="D67" s="59"/>
      <c r="E67" s="59">
        <v>35581</v>
      </c>
      <c r="F67" s="59"/>
      <c r="G67" s="59">
        <v>97215</v>
      </c>
      <c r="H67" s="59">
        <v>77017</v>
      </c>
      <c r="I67" s="59">
        <v>131157</v>
      </c>
      <c r="J67" s="59">
        <v>131531</v>
      </c>
      <c r="K67" s="59">
        <v>129582</v>
      </c>
      <c r="L67" s="59">
        <v>133533</v>
      </c>
      <c r="M67" s="59">
        <v>129998</v>
      </c>
      <c r="N67" s="59">
        <v>128987</v>
      </c>
      <c r="O67" s="59">
        <v>127483</v>
      </c>
      <c r="P67" s="59">
        <v>126190</v>
      </c>
      <c r="Q67" s="59">
        <v>124153</v>
      </c>
      <c r="R67" s="59">
        <v>124247</v>
      </c>
      <c r="S67" s="59">
        <v>121101</v>
      </c>
      <c r="T67" s="59">
        <v>121030</v>
      </c>
      <c r="U67" s="59">
        <v>118462</v>
      </c>
      <c r="V67" s="59">
        <v>117708</v>
      </c>
      <c r="W67" s="59">
        <v>116808</v>
      </c>
      <c r="X67" s="59">
        <v>114645</v>
      </c>
      <c r="Y67" s="59">
        <v>112702</v>
      </c>
      <c r="Z67" s="59">
        <v>111641</v>
      </c>
      <c r="AA67" s="59">
        <v>106481</v>
      </c>
      <c r="AB67" s="59">
        <v>100721</v>
      </c>
      <c r="AC67" s="59">
        <v>108927</v>
      </c>
      <c r="AD67" s="59">
        <v>242662</v>
      </c>
      <c r="AE67" s="59">
        <v>239814</v>
      </c>
      <c r="AF67" s="59">
        <v>239713</v>
      </c>
      <c r="AG67" s="59">
        <v>236714</v>
      </c>
      <c r="AH67" s="59">
        <v>233590</v>
      </c>
      <c r="AI67" s="59">
        <v>230806</v>
      </c>
      <c r="AJ67" s="59">
        <v>226521</v>
      </c>
      <c r="AK67"/>
      <c r="AL67" s="68"/>
      <c r="AM67" s="68"/>
    </row>
    <row r="68" spans="2:42" ht="15" outlineLevel="1" x14ac:dyDescent="0.25">
      <c r="B68" s="57" t="s">
        <v>127</v>
      </c>
      <c r="C68" s="24" t="s">
        <v>18</v>
      </c>
      <c r="D68" s="59"/>
      <c r="E68" s="59">
        <v>943</v>
      </c>
      <c r="F68" s="59"/>
      <c r="G68" s="59">
        <v>954</v>
      </c>
      <c r="H68" s="59">
        <v>954</v>
      </c>
      <c r="I68" s="59">
        <v>954</v>
      </c>
      <c r="J68" s="59">
        <v>954</v>
      </c>
      <c r="K68" s="59">
        <v>1110</v>
      </c>
      <c r="L68" s="59">
        <v>1120</v>
      </c>
      <c r="M68" s="59">
        <v>1111</v>
      </c>
      <c r="N68" s="59">
        <v>1116</v>
      </c>
      <c r="O68" s="59">
        <v>1258</v>
      </c>
      <c r="P68" s="59">
        <v>1259</v>
      </c>
      <c r="Q68" s="59">
        <v>1269</v>
      </c>
      <c r="R68" s="59" t="s">
        <v>100</v>
      </c>
      <c r="S68" s="59">
        <v>1168</v>
      </c>
      <c r="T68" s="59">
        <v>1176</v>
      </c>
      <c r="U68" s="59">
        <v>1158</v>
      </c>
      <c r="V68" s="59">
        <v>1143</v>
      </c>
      <c r="W68" s="59">
        <v>1731</v>
      </c>
      <c r="X68" s="59">
        <v>1728</v>
      </c>
      <c r="Y68" s="59">
        <v>1736</v>
      </c>
      <c r="Z68" s="59">
        <v>1742</v>
      </c>
      <c r="AA68" s="59">
        <v>1485</v>
      </c>
      <c r="AB68" s="59">
        <v>1488</v>
      </c>
      <c r="AC68" s="59">
        <v>1482</v>
      </c>
      <c r="AD68" s="59">
        <v>1469</v>
      </c>
      <c r="AE68" s="59">
        <v>1930</v>
      </c>
      <c r="AF68" s="59">
        <v>1927</v>
      </c>
      <c r="AG68" s="59">
        <v>1854</v>
      </c>
      <c r="AH68" s="59">
        <v>1847</v>
      </c>
      <c r="AI68" s="59">
        <v>2444</v>
      </c>
      <c r="AJ68" s="59">
        <v>2440</v>
      </c>
      <c r="AK68"/>
      <c r="AL68" s="68"/>
      <c r="AM68" s="68"/>
    </row>
    <row r="69" spans="2:42" ht="15" outlineLevel="1" x14ac:dyDescent="0.25">
      <c r="B69" s="57" t="s">
        <v>128</v>
      </c>
      <c r="C69" s="24" t="s">
        <v>18</v>
      </c>
      <c r="D69" s="59"/>
      <c r="E69" s="59">
        <v>6081</v>
      </c>
      <c r="F69" s="59"/>
      <c r="G69" s="59">
        <f>5825+777</f>
        <v>6602</v>
      </c>
      <c r="H69" s="59">
        <v>6642</v>
      </c>
      <c r="I69" s="59">
        <v>9590</v>
      </c>
      <c r="J69" s="59">
        <v>9754</v>
      </c>
      <c r="K69" s="59">
        <v>6602</v>
      </c>
      <c r="L69" s="59">
        <v>10808</v>
      </c>
      <c r="M69" s="59">
        <v>6383</v>
      </c>
      <c r="N69" s="59">
        <v>6316</v>
      </c>
      <c r="O69" s="59">
        <v>6481</v>
      </c>
      <c r="P69" s="59">
        <v>5764</v>
      </c>
      <c r="Q69" s="59">
        <v>22036</v>
      </c>
      <c r="R69" s="59">
        <v>26016</v>
      </c>
      <c r="S69" s="59">
        <v>23420</v>
      </c>
      <c r="T69" s="59">
        <f>28665-155</f>
        <v>28510</v>
      </c>
      <c r="U69" s="59">
        <v>9767</v>
      </c>
      <c r="V69" s="59">
        <v>9877</v>
      </c>
      <c r="W69" s="59">
        <v>9313</v>
      </c>
      <c r="X69" s="59">
        <v>9228</v>
      </c>
      <c r="Y69" s="59">
        <v>9651</v>
      </c>
      <c r="Z69" s="59">
        <v>9751</v>
      </c>
      <c r="AA69" s="59">
        <v>7547</v>
      </c>
      <c r="AB69" s="59">
        <v>7471</v>
      </c>
      <c r="AC69" s="59">
        <v>7538</v>
      </c>
      <c r="AD69" s="59">
        <v>7530</v>
      </c>
      <c r="AE69" s="59">
        <v>7773</v>
      </c>
      <c r="AF69" s="59">
        <v>7579</v>
      </c>
      <c r="AG69" s="59">
        <v>7894</v>
      </c>
      <c r="AH69" s="59">
        <v>8084</v>
      </c>
      <c r="AI69" s="59">
        <v>4881</v>
      </c>
      <c r="AJ69" s="59">
        <v>4971</v>
      </c>
      <c r="AK69"/>
      <c r="AL69" s="68"/>
      <c r="AM69" s="68"/>
    </row>
    <row r="70" spans="2:42" ht="15" outlineLevel="1" x14ac:dyDescent="0.25">
      <c r="B70" s="25" t="s">
        <v>44</v>
      </c>
      <c r="C70" s="25" t="s">
        <v>18</v>
      </c>
      <c r="D70" s="62"/>
      <c r="E70" s="62">
        <f>SUM(E64:E69)</f>
        <v>70555</v>
      </c>
      <c r="F70" s="62"/>
      <c r="G70" s="62">
        <f t="shared" ref="G70:AI70" si="12">SUM(G64:G69)</f>
        <v>154276</v>
      </c>
      <c r="H70" s="62">
        <f t="shared" si="12"/>
        <v>129516</v>
      </c>
      <c r="I70" s="62">
        <f t="shared" si="12"/>
        <v>189009</v>
      </c>
      <c r="J70" s="62">
        <f t="shared" si="12"/>
        <v>250848</v>
      </c>
      <c r="K70" s="62">
        <f t="shared" si="12"/>
        <v>246885</v>
      </c>
      <c r="L70" s="62">
        <f t="shared" si="12"/>
        <v>266693</v>
      </c>
      <c r="M70" s="62">
        <f t="shared" si="12"/>
        <v>250972</v>
      </c>
      <c r="N70" s="62">
        <f t="shared" si="12"/>
        <v>255441</v>
      </c>
      <c r="O70" s="62">
        <f t="shared" si="12"/>
        <v>237915</v>
      </c>
      <c r="P70" s="62">
        <f t="shared" si="12"/>
        <v>237159</v>
      </c>
      <c r="Q70" s="62">
        <f t="shared" si="12"/>
        <v>251963</v>
      </c>
      <c r="R70" s="62">
        <f t="shared" si="12"/>
        <v>255333</v>
      </c>
      <c r="S70" s="62">
        <f t="shared" si="12"/>
        <v>255581</v>
      </c>
      <c r="T70" s="62">
        <f t="shared" si="12"/>
        <v>267619</v>
      </c>
      <c r="U70" s="62">
        <f t="shared" si="12"/>
        <v>247709</v>
      </c>
      <c r="V70" s="62">
        <f t="shared" si="12"/>
        <v>249178</v>
      </c>
      <c r="W70" s="62">
        <f t="shared" si="12"/>
        <v>254627</v>
      </c>
      <c r="X70" s="62">
        <f t="shared" si="12"/>
        <v>251179</v>
      </c>
      <c r="Y70" s="62">
        <f t="shared" si="12"/>
        <v>250875</v>
      </c>
      <c r="Z70" s="62">
        <f t="shared" si="12"/>
        <v>169241</v>
      </c>
      <c r="AA70" s="62">
        <f t="shared" si="12"/>
        <v>160213</v>
      </c>
      <c r="AB70" s="62">
        <f t="shared" si="12"/>
        <v>185438</v>
      </c>
      <c r="AC70" s="62">
        <f t="shared" si="12"/>
        <v>199073</v>
      </c>
      <c r="AD70" s="62">
        <f t="shared" si="12"/>
        <v>335498</v>
      </c>
      <c r="AE70" s="62">
        <f t="shared" si="12"/>
        <v>403345</v>
      </c>
      <c r="AF70" s="62">
        <f t="shared" si="12"/>
        <v>412563</v>
      </c>
      <c r="AG70" s="62">
        <f t="shared" si="12"/>
        <v>349909</v>
      </c>
      <c r="AH70" s="62">
        <f t="shared" si="12"/>
        <v>351375</v>
      </c>
      <c r="AI70" s="62">
        <f t="shared" si="12"/>
        <v>331306</v>
      </c>
      <c r="AJ70" s="62">
        <f>SUM(AJ64:AJ69)</f>
        <v>335960</v>
      </c>
      <c r="AK70"/>
      <c r="AL70" s="68"/>
      <c r="AM70" s="68"/>
    </row>
    <row r="71" spans="2:42" ht="15" outlineLevel="1" x14ac:dyDescent="0.25">
      <c r="B71" s="26"/>
      <c r="C71" s="26"/>
      <c r="D71" s="60"/>
      <c r="E71" s="60"/>
      <c r="F71" s="60"/>
      <c r="G71" s="60"/>
      <c r="H71" s="60"/>
      <c r="I71" s="60"/>
      <c r="J71" s="60"/>
      <c r="K71" s="60"/>
      <c r="L71" s="60"/>
      <c r="M71" s="60"/>
      <c r="N71" s="60"/>
      <c r="O71" s="60"/>
      <c r="P71" s="60"/>
      <c r="Q71" s="60"/>
      <c r="R71" s="60"/>
      <c r="S71" s="26"/>
      <c r="T71" s="26"/>
      <c r="U71" s="26"/>
      <c r="V71" s="26"/>
      <c r="W71" s="26"/>
      <c r="X71" s="33"/>
      <c r="AB71" s="59"/>
      <c r="AC71" s="59"/>
      <c r="AD71" s="59"/>
      <c r="AE71" s="59"/>
      <c r="AF71" s="59"/>
      <c r="AG71" s="59"/>
      <c r="AH71" s="59"/>
      <c r="AI71" s="59"/>
      <c r="AJ71"/>
      <c r="AK71"/>
      <c r="AL71" s="68"/>
      <c r="AM71" s="68"/>
      <c r="AN71" s="68"/>
      <c r="AO71" s="68"/>
      <c r="AP71" s="68"/>
    </row>
    <row r="72" spans="2:42" ht="15" outlineLevel="1" x14ac:dyDescent="0.25">
      <c r="B72" s="30" t="s">
        <v>45</v>
      </c>
      <c r="C72" s="24"/>
      <c r="D72" s="59"/>
      <c r="E72" s="59"/>
      <c r="F72" s="59"/>
      <c r="G72" s="59"/>
      <c r="H72" s="59"/>
      <c r="I72" s="59"/>
      <c r="J72" s="59"/>
      <c r="K72" s="59"/>
      <c r="L72" s="59"/>
      <c r="M72" s="59"/>
      <c r="N72" s="59"/>
      <c r="O72" s="59"/>
      <c r="P72" s="59"/>
      <c r="Q72" s="59"/>
      <c r="R72" s="59"/>
      <c r="S72" s="24"/>
      <c r="T72" s="24"/>
      <c r="U72" s="24"/>
      <c r="V72" s="24"/>
      <c r="W72" s="24"/>
      <c r="X72" s="24"/>
      <c r="AB72" s="59"/>
      <c r="AC72" s="59"/>
      <c r="AD72" s="59"/>
      <c r="AE72" s="59"/>
      <c r="AF72" s="59"/>
      <c r="AG72" s="59"/>
      <c r="AH72" s="59"/>
      <c r="AI72" s="59"/>
      <c r="AJ72"/>
      <c r="AK72"/>
      <c r="AL72" s="68"/>
      <c r="AM72" s="68"/>
      <c r="AN72" s="68"/>
      <c r="AO72" s="68"/>
      <c r="AP72" s="68"/>
    </row>
    <row r="73" spans="2:42" s="68" customFormat="1" ht="15" outlineLevel="1" x14ac:dyDescent="0.25">
      <c r="B73" s="57" t="s">
        <v>251</v>
      </c>
      <c r="C73" s="57" t="s">
        <v>18</v>
      </c>
      <c r="D73" s="58"/>
      <c r="E73" s="58">
        <v>90209</v>
      </c>
      <c r="F73" s="58"/>
      <c r="G73" s="58">
        <v>183420</v>
      </c>
      <c r="H73" s="58">
        <v>144063</v>
      </c>
      <c r="I73" s="58">
        <v>133515</v>
      </c>
      <c r="J73" s="58">
        <v>135298</v>
      </c>
      <c r="K73" s="58">
        <v>90664</v>
      </c>
      <c r="L73" s="58">
        <v>50429</v>
      </c>
      <c r="M73" s="58">
        <v>89944</v>
      </c>
      <c r="N73" s="58">
        <v>14132</v>
      </c>
      <c r="O73" s="58">
        <v>21526</v>
      </c>
      <c r="P73" s="58">
        <v>18887</v>
      </c>
      <c r="Q73" s="58">
        <v>12845</v>
      </c>
      <c r="R73" s="58">
        <v>10537</v>
      </c>
      <c r="S73" s="57">
        <v>11317</v>
      </c>
      <c r="T73" s="59">
        <v>12225</v>
      </c>
      <c r="U73" s="59">
        <v>13089</v>
      </c>
      <c r="V73" s="59">
        <v>7051</v>
      </c>
      <c r="W73" s="59">
        <v>54971</v>
      </c>
      <c r="X73" s="59">
        <v>5169</v>
      </c>
      <c r="Y73" s="59">
        <v>28639</v>
      </c>
      <c r="Z73" s="59">
        <v>88934</v>
      </c>
      <c r="AA73" s="59">
        <v>86252</v>
      </c>
      <c r="AB73" s="59">
        <v>89029</v>
      </c>
      <c r="AC73" s="59">
        <v>97621</v>
      </c>
      <c r="AD73" s="59">
        <v>94456</v>
      </c>
      <c r="AE73" s="59">
        <v>43306</v>
      </c>
      <c r="AF73" s="59">
        <v>39229</v>
      </c>
      <c r="AG73" s="59">
        <v>138669</v>
      </c>
      <c r="AH73" s="59">
        <v>153183</v>
      </c>
      <c r="AI73" s="59">
        <v>155910</v>
      </c>
      <c r="AJ73" s="59">
        <v>163010</v>
      </c>
      <c r="AK73"/>
    </row>
    <row r="74" spans="2:42" s="68" customFormat="1" ht="15" outlineLevel="1" x14ac:dyDescent="0.25">
      <c r="B74" s="57" t="s">
        <v>373</v>
      </c>
      <c r="C74" s="57" t="s">
        <v>18</v>
      </c>
      <c r="D74" s="58"/>
      <c r="E74" s="58"/>
      <c r="F74" s="58"/>
      <c r="G74" s="58"/>
      <c r="H74" s="58"/>
      <c r="I74" s="58"/>
      <c r="J74" s="58"/>
      <c r="K74" s="58">
        <v>590</v>
      </c>
      <c r="L74" s="58"/>
      <c r="M74" s="58"/>
      <c r="N74" s="58"/>
      <c r="O74" s="58">
        <v>476</v>
      </c>
      <c r="P74" s="58"/>
      <c r="Q74" s="58"/>
      <c r="R74" s="58"/>
      <c r="S74" s="57"/>
      <c r="T74" s="59"/>
      <c r="U74" s="59"/>
      <c r="V74" s="59"/>
      <c r="W74" s="59"/>
      <c r="X74" s="59"/>
      <c r="Y74" s="59"/>
      <c r="Z74" s="59"/>
      <c r="AA74" s="59"/>
      <c r="AB74" s="59"/>
      <c r="AC74" s="59"/>
      <c r="AD74" s="59"/>
      <c r="AE74" s="59"/>
      <c r="AF74" s="59"/>
      <c r="AG74" s="59"/>
      <c r="AH74" s="59"/>
      <c r="AI74" s="59"/>
      <c r="AJ74" s="59"/>
      <c r="AK74"/>
    </row>
    <row r="75" spans="2:42" s="68" customFormat="1" ht="15" outlineLevel="1" x14ac:dyDescent="0.25">
      <c r="B75" s="57" t="s">
        <v>43</v>
      </c>
      <c r="C75" s="57" t="s">
        <v>18</v>
      </c>
      <c r="D75" s="58"/>
      <c r="E75" s="58">
        <v>143</v>
      </c>
      <c r="F75" s="58"/>
      <c r="G75" s="58">
        <v>187</v>
      </c>
      <c r="H75" s="58">
        <v>166</v>
      </c>
      <c r="I75" s="58">
        <v>145</v>
      </c>
      <c r="J75" s="58">
        <v>122</v>
      </c>
      <c r="K75" s="58">
        <v>887</v>
      </c>
      <c r="L75" s="58">
        <v>866</v>
      </c>
      <c r="M75" s="58">
        <v>846</v>
      </c>
      <c r="N75" s="58">
        <v>829</v>
      </c>
      <c r="O75" s="58">
        <v>879</v>
      </c>
      <c r="P75" s="58">
        <v>861</v>
      </c>
      <c r="Q75" s="58">
        <v>842</v>
      </c>
      <c r="R75" s="58">
        <v>824</v>
      </c>
      <c r="S75" s="57">
        <v>869</v>
      </c>
      <c r="T75" s="59">
        <v>851</v>
      </c>
      <c r="U75" s="59">
        <v>7737</v>
      </c>
      <c r="V75" s="59">
        <v>8104</v>
      </c>
      <c r="W75" s="59">
        <v>4506</v>
      </c>
      <c r="X75" s="59">
        <v>19513</v>
      </c>
      <c r="Y75" s="59">
        <v>21559</v>
      </c>
      <c r="Z75" s="59">
        <v>10120</v>
      </c>
      <c r="AA75" s="59">
        <v>9343</v>
      </c>
      <c r="AB75" s="59">
        <v>9678</v>
      </c>
      <c r="AC75" s="59">
        <v>9677</v>
      </c>
      <c r="AD75" s="59">
        <v>9661</v>
      </c>
      <c r="AE75" s="59">
        <v>12494</v>
      </c>
      <c r="AF75" s="59">
        <v>11471</v>
      </c>
      <c r="AG75" s="59">
        <v>11494</v>
      </c>
      <c r="AH75" s="59">
        <v>11192</v>
      </c>
      <c r="AI75" s="59">
        <v>4480</v>
      </c>
      <c r="AJ75" s="59">
        <v>4318</v>
      </c>
      <c r="AK75"/>
    </row>
    <row r="76" spans="2:42" s="68" customFormat="1" ht="15" outlineLevel="1" x14ac:dyDescent="0.25">
      <c r="B76" s="57" t="s">
        <v>115</v>
      </c>
      <c r="C76" s="57" t="s">
        <v>18</v>
      </c>
      <c r="D76" s="58"/>
      <c r="E76" s="58">
        <v>53653</v>
      </c>
      <c r="F76" s="58"/>
      <c r="G76" s="58">
        <v>51534</v>
      </c>
      <c r="H76" s="58">
        <v>41822</v>
      </c>
      <c r="I76" s="58">
        <v>76835</v>
      </c>
      <c r="J76" s="58">
        <v>89706</v>
      </c>
      <c r="K76" s="58">
        <v>58562</v>
      </c>
      <c r="L76" s="58">
        <v>55398</v>
      </c>
      <c r="M76" s="58">
        <v>34290</v>
      </c>
      <c r="N76" s="58">
        <v>72470</v>
      </c>
      <c r="O76" s="58">
        <v>43948</v>
      </c>
      <c r="P76" s="58">
        <v>52473</v>
      </c>
      <c r="Q76" s="58">
        <v>57968</v>
      </c>
      <c r="R76" s="58">
        <v>63693</v>
      </c>
      <c r="S76" s="57">
        <v>66014</v>
      </c>
      <c r="T76" s="59">
        <v>113193</v>
      </c>
      <c r="U76" s="59">
        <v>96325</v>
      </c>
      <c r="V76" s="59">
        <v>115503</v>
      </c>
      <c r="W76" s="59">
        <v>98809</v>
      </c>
      <c r="X76" s="59">
        <v>132799</v>
      </c>
      <c r="Y76" s="59">
        <v>157448</v>
      </c>
      <c r="Z76" s="59">
        <v>163675</v>
      </c>
      <c r="AA76" s="59">
        <v>176011</v>
      </c>
      <c r="AB76" s="59">
        <v>184219</v>
      </c>
      <c r="AC76" s="59">
        <v>219390</v>
      </c>
      <c r="AD76" s="59">
        <v>171741</v>
      </c>
      <c r="AE76" s="59">
        <v>281672</v>
      </c>
      <c r="AF76" s="59">
        <v>197024</v>
      </c>
      <c r="AG76" s="59">
        <v>299100</v>
      </c>
      <c r="AH76" s="59">
        <v>235185</v>
      </c>
      <c r="AI76" s="59">
        <v>191429</v>
      </c>
      <c r="AJ76" s="59">
        <v>246997</v>
      </c>
      <c r="AK76"/>
      <c r="AL76" s="2"/>
    </row>
    <row r="77" spans="2:42" s="68" customFormat="1" ht="15" outlineLevel="1" x14ac:dyDescent="0.25">
      <c r="B77" s="182" t="s">
        <v>327</v>
      </c>
      <c r="C77" s="57" t="s">
        <v>18</v>
      </c>
      <c r="D77" s="58"/>
      <c r="E77" s="58">
        <v>5659</v>
      </c>
      <c r="F77" s="58"/>
      <c r="G77" s="58">
        <v>10711</v>
      </c>
      <c r="H77" s="58">
        <v>11656</v>
      </c>
      <c r="I77" s="58">
        <v>8298</v>
      </c>
      <c r="J77" s="58">
        <v>8839</v>
      </c>
      <c r="K77" s="58">
        <v>12717</v>
      </c>
      <c r="L77" s="58">
        <v>8678</v>
      </c>
      <c r="M77" s="58">
        <v>8500</v>
      </c>
      <c r="N77" s="58">
        <v>8901</v>
      </c>
      <c r="O77" s="58">
        <v>8713</v>
      </c>
      <c r="P77" s="58">
        <v>7749</v>
      </c>
      <c r="Q77" s="58">
        <v>8747</v>
      </c>
      <c r="R77" s="58">
        <v>9121</v>
      </c>
      <c r="S77" s="57">
        <v>17973</v>
      </c>
      <c r="T77" s="59">
        <v>17142</v>
      </c>
      <c r="U77" s="59">
        <v>15001</v>
      </c>
      <c r="V77" s="59">
        <v>16208</v>
      </c>
      <c r="W77" s="59">
        <v>24688</v>
      </c>
      <c r="X77" s="59">
        <v>21056</v>
      </c>
      <c r="Y77" s="59">
        <v>23240</v>
      </c>
      <c r="Z77" s="59">
        <v>21295</v>
      </c>
      <c r="AA77" s="59">
        <v>37437</v>
      </c>
      <c r="AB77" s="59">
        <v>40891</v>
      </c>
      <c r="AC77" s="59">
        <v>40147</v>
      </c>
      <c r="AD77" s="59">
        <v>35425</v>
      </c>
      <c r="AE77" s="59">
        <v>47931</v>
      </c>
      <c r="AF77" s="59">
        <v>36276</v>
      </c>
      <c r="AG77" s="59">
        <v>52994</v>
      </c>
      <c r="AH77" s="59">
        <v>48340</v>
      </c>
      <c r="AI77" s="59">
        <v>54464</v>
      </c>
      <c r="AJ77" s="59">
        <v>74252</v>
      </c>
      <c r="AK77"/>
      <c r="AL77" s="2"/>
    </row>
    <row r="78" spans="2:42" s="68" customFormat="1" ht="15" outlineLevel="1" x14ac:dyDescent="0.25">
      <c r="B78" s="57" t="s">
        <v>127</v>
      </c>
      <c r="C78" s="57" t="s">
        <v>18</v>
      </c>
      <c r="D78" s="58"/>
      <c r="E78" s="58">
        <v>126</v>
      </c>
      <c r="F78" s="58"/>
      <c r="G78" s="58">
        <v>147</v>
      </c>
      <c r="H78" s="58">
        <v>131</v>
      </c>
      <c r="I78" s="58">
        <v>63</v>
      </c>
      <c r="J78" s="58">
        <v>41</v>
      </c>
      <c r="K78" s="58">
        <v>136</v>
      </c>
      <c r="L78" s="58">
        <v>125</v>
      </c>
      <c r="M78" s="58">
        <v>97</v>
      </c>
      <c r="N78" s="58">
        <v>72</v>
      </c>
      <c r="O78" s="58">
        <v>169</v>
      </c>
      <c r="P78" s="58">
        <v>152</v>
      </c>
      <c r="Q78" s="58">
        <v>128</v>
      </c>
      <c r="R78" s="58" t="s">
        <v>100</v>
      </c>
      <c r="S78" s="57">
        <v>215</v>
      </c>
      <c r="T78" s="59">
        <v>180</v>
      </c>
      <c r="U78" s="59">
        <v>158</v>
      </c>
      <c r="V78" s="59">
        <v>132</v>
      </c>
      <c r="W78" s="59">
        <v>325</v>
      </c>
      <c r="X78" s="59">
        <v>283</v>
      </c>
      <c r="Y78" s="59">
        <v>227</v>
      </c>
      <c r="Z78" s="59">
        <v>188</v>
      </c>
      <c r="AA78" s="59">
        <v>326</v>
      </c>
      <c r="AB78" s="59">
        <v>283</v>
      </c>
      <c r="AC78" s="59">
        <v>232</v>
      </c>
      <c r="AD78" s="59">
        <v>206</v>
      </c>
      <c r="AE78" s="59">
        <v>399</v>
      </c>
      <c r="AF78" s="59">
        <v>338</v>
      </c>
      <c r="AG78" s="59">
        <v>310</v>
      </c>
      <c r="AH78" s="59">
        <v>244</v>
      </c>
      <c r="AI78" s="59">
        <v>653</v>
      </c>
      <c r="AJ78" s="59">
        <v>569</v>
      </c>
      <c r="AK78"/>
      <c r="AL78" s="2"/>
      <c r="AM78" s="2"/>
    </row>
    <row r="79" spans="2:42" s="68" customFormat="1" ht="15" outlineLevel="1" x14ac:dyDescent="0.25">
      <c r="B79" s="57" t="s">
        <v>131</v>
      </c>
      <c r="C79" s="57" t="s">
        <v>18</v>
      </c>
      <c r="D79" s="58"/>
      <c r="E79" s="58">
        <v>508</v>
      </c>
      <c r="F79" s="58"/>
      <c r="G79" s="58">
        <v>977</v>
      </c>
      <c r="H79" s="58">
        <v>1222</v>
      </c>
      <c r="I79" s="58">
        <v>1979</v>
      </c>
      <c r="J79" s="58">
        <v>2249</v>
      </c>
      <c r="K79" s="58">
        <v>467</v>
      </c>
      <c r="L79" s="58">
        <v>912</v>
      </c>
      <c r="M79" s="58">
        <v>2792</v>
      </c>
      <c r="N79" s="58">
        <v>7969</v>
      </c>
      <c r="O79" s="58">
        <v>927</v>
      </c>
      <c r="P79" s="58">
        <v>1367</v>
      </c>
      <c r="Q79" s="58">
        <v>1541</v>
      </c>
      <c r="R79" s="58">
        <v>1764</v>
      </c>
      <c r="S79" s="57">
        <v>5096</v>
      </c>
      <c r="T79" s="59">
        <v>9130</v>
      </c>
      <c r="U79" s="59">
        <v>13599</v>
      </c>
      <c r="V79" s="59">
        <v>15356</v>
      </c>
      <c r="W79" s="59">
        <v>4221</v>
      </c>
      <c r="X79" s="59">
        <v>5100</v>
      </c>
      <c r="Y79" s="59">
        <v>8640</v>
      </c>
      <c r="Z79" s="59">
        <v>6211</v>
      </c>
      <c r="AA79" s="59">
        <v>5022</v>
      </c>
      <c r="AB79" s="59">
        <v>11212</v>
      </c>
      <c r="AC79" s="59">
        <v>18667</v>
      </c>
      <c r="AD79" s="59">
        <v>24318</v>
      </c>
      <c r="AE79" s="59">
        <v>7482</v>
      </c>
      <c r="AF79" s="59">
        <v>1441</v>
      </c>
      <c r="AG79" s="59">
        <v>2514</v>
      </c>
      <c r="AH79" s="59">
        <v>6631</v>
      </c>
      <c r="AI79" s="59">
        <v>1213</v>
      </c>
      <c r="AJ79" s="59">
        <v>2150</v>
      </c>
      <c r="AK79"/>
      <c r="AL79" s="24"/>
      <c r="AM79" s="2"/>
    </row>
    <row r="80" spans="2:42" s="68" customFormat="1" ht="15" outlineLevel="1" x14ac:dyDescent="0.25">
      <c r="B80" s="57" t="s">
        <v>46</v>
      </c>
      <c r="C80" s="57" t="s">
        <v>18</v>
      </c>
      <c r="D80" s="58"/>
      <c r="E80" s="68" t="s">
        <v>100</v>
      </c>
      <c r="F80" s="58"/>
      <c r="G80" s="58"/>
      <c r="H80" s="58" t="s">
        <v>100</v>
      </c>
      <c r="I80" s="58" t="s">
        <v>100</v>
      </c>
      <c r="J80" s="58" t="s">
        <v>100</v>
      </c>
      <c r="K80" s="58" t="s">
        <v>100</v>
      </c>
      <c r="L80" s="58" t="s">
        <v>100</v>
      </c>
      <c r="M80" s="58" t="s">
        <v>100</v>
      </c>
      <c r="N80" s="58" t="s">
        <v>100</v>
      </c>
      <c r="O80" s="58"/>
      <c r="P80" s="58" t="s">
        <v>100</v>
      </c>
      <c r="Q80" s="58">
        <v>150295</v>
      </c>
      <c r="R80" s="58">
        <v>214</v>
      </c>
      <c r="S80" s="57" t="s">
        <v>100</v>
      </c>
      <c r="T80" s="2"/>
      <c r="U80" s="2">
        <v>227388</v>
      </c>
      <c r="V80" s="2"/>
      <c r="W80" s="59"/>
      <c r="X80" s="59"/>
      <c r="Y80" s="59">
        <v>200970</v>
      </c>
      <c r="Z80" s="59"/>
      <c r="AA80" s="59"/>
      <c r="AB80" s="59"/>
      <c r="AC80" s="59"/>
      <c r="AD80" s="59"/>
      <c r="AE80" s="59"/>
      <c r="AF80" s="59"/>
      <c r="AG80" s="59">
        <v>341961</v>
      </c>
      <c r="AH80" s="59"/>
      <c r="AI80" s="59"/>
      <c r="AJ80"/>
      <c r="AK80"/>
      <c r="AL80" s="2"/>
      <c r="AM80" s="2"/>
    </row>
    <row r="81" spans="2:42" s="68" customFormat="1" ht="15" outlineLevel="1" x14ac:dyDescent="0.25">
      <c r="B81" s="57" t="s">
        <v>129</v>
      </c>
      <c r="C81" s="57" t="s">
        <v>18</v>
      </c>
      <c r="D81" s="58"/>
      <c r="E81" s="58">
        <v>105582</v>
      </c>
      <c r="F81" s="58"/>
      <c r="G81" s="58">
        <f>30319+129</f>
        <v>30448</v>
      </c>
      <c r="H81" s="58">
        <v>38702</v>
      </c>
      <c r="I81" s="58">
        <v>25124</v>
      </c>
      <c r="J81" s="58">
        <v>15166</v>
      </c>
      <c r="K81" s="58">
        <v>20682</v>
      </c>
      <c r="L81" s="58">
        <v>51693</v>
      </c>
      <c r="M81" s="58">
        <v>49190</v>
      </c>
      <c r="N81" s="58">
        <v>29201</v>
      </c>
      <c r="O81" s="58">
        <f>34994-O74</f>
        <v>34518</v>
      </c>
      <c r="P81" s="58">
        <v>57005</v>
      </c>
      <c r="Q81" s="58">
        <v>21990</v>
      </c>
      <c r="R81" s="58">
        <v>216151</v>
      </c>
      <c r="S81" s="57">
        <v>57338</v>
      </c>
      <c r="T81" s="59">
        <f>116621-27</f>
        <v>116594</v>
      </c>
      <c r="U81" s="59">
        <v>203057</v>
      </c>
      <c r="V81" s="59">
        <v>197316</v>
      </c>
      <c r="W81" s="59">
        <v>83883</v>
      </c>
      <c r="X81" s="59">
        <v>126945</v>
      </c>
      <c r="Y81" s="59">
        <v>85492</v>
      </c>
      <c r="Z81" s="59">
        <v>98706</v>
      </c>
      <c r="AA81" s="59">
        <v>116421</v>
      </c>
      <c r="AB81" s="59">
        <v>174913</v>
      </c>
      <c r="AC81" s="59">
        <v>30115</v>
      </c>
      <c r="AD81" s="59">
        <v>28863</v>
      </c>
      <c r="AE81" s="59">
        <v>27701</v>
      </c>
      <c r="AF81" s="59">
        <v>137722</v>
      </c>
      <c r="AG81" s="59">
        <v>44413</v>
      </c>
      <c r="AH81" s="59">
        <v>44962</v>
      </c>
      <c r="AI81" s="59">
        <v>46076</v>
      </c>
      <c r="AJ81" s="59">
        <v>115868</v>
      </c>
      <c r="AK81"/>
      <c r="AL81" s="2"/>
      <c r="AM81" s="24"/>
    </row>
    <row r="82" spans="2:42" s="68" customFormat="1" ht="15" outlineLevel="1" x14ac:dyDescent="0.25">
      <c r="B82" s="82" t="s">
        <v>47</v>
      </c>
      <c r="C82" s="82" t="s">
        <v>18</v>
      </c>
      <c r="D82" s="90"/>
      <c r="E82" s="90">
        <f>SUM(E73:E81)</f>
        <v>255880</v>
      </c>
      <c r="F82" s="90"/>
      <c r="G82" s="90">
        <f>SUM(G73:G81)</f>
        <v>277424</v>
      </c>
      <c r="H82" s="90">
        <f t="shared" ref="H82:AI82" si="13">SUM(H73:H81)</f>
        <v>237762</v>
      </c>
      <c r="I82" s="90">
        <f t="shared" si="13"/>
        <v>245959</v>
      </c>
      <c r="J82" s="90">
        <f t="shared" si="13"/>
        <v>251421</v>
      </c>
      <c r="K82" s="90">
        <f t="shared" si="13"/>
        <v>184705</v>
      </c>
      <c r="L82" s="90">
        <f t="shared" si="13"/>
        <v>168101</v>
      </c>
      <c r="M82" s="90">
        <f t="shared" si="13"/>
        <v>185659</v>
      </c>
      <c r="N82" s="90">
        <f t="shared" si="13"/>
        <v>133574</v>
      </c>
      <c r="O82" s="90">
        <f t="shared" si="13"/>
        <v>111156</v>
      </c>
      <c r="P82" s="90">
        <f t="shared" si="13"/>
        <v>138494</v>
      </c>
      <c r="Q82" s="90">
        <f t="shared" si="13"/>
        <v>254356</v>
      </c>
      <c r="R82" s="90">
        <f t="shared" si="13"/>
        <v>302304</v>
      </c>
      <c r="S82" s="90">
        <f t="shared" si="13"/>
        <v>158822</v>
      </c>
      <c r="T82" s="63">
        <f t="shared" si="13"/>
        <v>269315</v>
      </c>
      <c r="U82" s="63">
        <f t="shared" si="13"/>
        <v>576354</v>
      </c>
      <c r="V82" s="63">
        <f t="shared" si="13"/>
        <v>359670</v>
      </c>
      <c r="W82" s="63">
        <f t="shared" si="13"/>
        <v>271403</v>
      </c>
      <c r="X82" s="63">
        <f t="shared" si="13"/>
        <v>310865</v>
      </c>
      <c r="Y82" s="63">
        <f t="shared" si="13"/>
        <v>526215</v>
      </c>
      <c r="Z82" s="63">
        <f t="shared" si="13"/>
        <v>389129</v>
      </c>
      <c r="AA82" s="63">
        <f t="shared" si="13"/>
        <v>430812</v>
      </c>
      <c r="AB82" s="62">
        <f t="shared" si="13"/>
        <v>510225</v>
      </c>
      <c r="AC82" s="62">
        <f t="shared" si="13"/>
        <v>415849</v>
      </c>
      <c r="AD82" s="62">
        <f t="shared" si="13"/>
        <v>364670</v>
      </c>
      <c r="AE82" s="62">
        <f t="shared" si="13"/>
        <v>420985</v>
      </c>
      <c r="AF82" s="62">
        <f t="shared" si="13"/>
        <v>423501</v>
      </c>
      <c r="AG82" s="62">
        <f t="shared" si="13"/>
        <v>891455</v>
      </c>
      <c r="AH82" s="62">
        <f t="shared" si="13"/>
        <v>499737</v>
      </c>
      <c r="AI82" s="62">
        <f t="shared" si="13"/>
        <v>454225</v>
      </c>
      <c r="AJ82" s="62">
        <f>SUM(AJ73:AJ81)</f>
        <v>607164</v>
      </c>
      <c r="AK82"/>
      <c r="AL82" s="2"/>
      <c r="AM82" s="2"/>
      <c r="AN82" s="2"/>
      <c r="AO82" s="2"/>
      <c r="AP82" s="2"/>
    </row>
    <row r="83" spans="2:42" s="68" customFormat="1" ht="15" outlineLevel="1" x14ac:dyDescent="0.25">
      <c r="B83" s="89" t="s">
        <v>124</v>
      </c>
      <c r="C83" s="82"/>
      <c r="D83" s="91"/>
      <c r="E83" s="91">
        <v>53881</v>
      </c>
      <c r="F83" s="91"/>
      <c r="G83" s="91">
        <v>5951</v>
      </c>
      <c r="H83" s="91">
        <v>6743</v>
      </c>
      <c r="I83" s="91">
        <v>735</v>
      </c>
      <c r="J83" s="91">
        <v>493</v>
      </c>
      <c r="K83" s="91">
        <v>389</v>
      </c>
      <c r="L83" s="91">
        <v>414</v>
      </c>
      <c r="M83" s="91">
        <v>430</v>
      </c>
      <c r="N83" s="91">
        <v>413</v>
      </c>
      <c r="O83" s="91">
        <v>416</v>
      </c>
      <c r="P83" s="91">
        <v>426</v>
      </c>
      <c r="Q83" s="91">
        <v>269</v>
      </c>
      <c r="R83" s="91">
        <v>96</v>
      </c>
      <c r="S83" s="82">
        <v>0</v>
      </c>
      <c r="T83" s="23">
        <v>0</v>
      </c>
      <c r="U83" s="23">
        <v>0</v>
      </c>
      <c r="V83" s="23"/>
      <c r="W83" s="23"/>
      <c r="X83" s="167"/>
      <c r="Y83" s="167"/>
      <c r="Z83" s="167"/>
      <c r="AA83" s="70"/>
      <c r="AB83" s="59"/>
      <c r="AC83" s="59"/>
      <c r="AD83" s="59"/>
      <c r="AE83" s="59"/>
      <c r="AF83" s="59"/>
      <c r="AG83" s="59"/>
      <c r="AH83" s="59"/>
      <c r="AI83" s="59"/>
      <c r="AJ83"/>
      <c r="AK83"/>
      <c r="AL83" s="2"/>
      <c r="AM83" s="2"/>
      <c r="AN83" s="2"/>
      <c r="AO83" s="2"/>
      <c r="AP83" s="2"/>
    </row>
    <row r="84" spans="2:42" ht="15" outlineLevel="1" x14ac:dyDescent="0.25">
      <c r="B84" s="23" t="s">
        <v>48</v>
      </c>
      <c r="C84" s="23" t="s">
        <v>18</v>
      </c>
      <c r="D84" s="63"/>
      <c r="E84" s="63">
        <f>E82+E70+E83</f>
        <v>380316</v>
      </c>
      <c r="F84" s="63"/>
      <c r="G84" s="63">
        <f t="shared" ref="G84:AJ84" si="14">G82+G70+G83</f>
        <v>437651</v>
      </c>
      <c r="H84" s="63">
        <f t="shared" si="14"/>
        <v>374021</v>
      </c>
      <c r="I84" s="63">
        <f t="shared" si="14"/>
        <v>435703</v>
      </c>
      <c r="J84" s="63">
        <f t="shared" si="14"/>
        <v>502762</v>
      </c>
      <c r="K84" s="63">
        <f t="shared" si="14"/>
        <v>431979</v>
      </c>
      <c r="L84" s="63">
        <f t="shared" si="14"/>
        <v>435208</v>
      </c>
      <c r="M84" s="63">
        <f t="shared" si="14"/>
        <v>437061</v>
      </c>
      <c r="N84" s="63">
        <f t="shared" si="14"/>
        <v>389428</v>
      </c>
      <c r="O84" s="63">
        <f t="shared" si="14"/>
        <v>349487</v>
      </c>
      <c r="P84" s="63">
        <f t="shared" si="14"/>
        <v>376079</v>
      </c>
      <c r="Q84" s="63">
        <f t="shared" si="14"/>
        <v>506588</v>
      </c>
      <c r="R84" s="63">
        <f t="shared" si="14"/>
        <v>557733</v>
      </c>
      <c r="S84" s="63">
        <f t="shared" si="14"/>
        <v>414403</v>
      </c>
      <c r="T84" s="63">
        <f t="shared" si="14"/>
        <v>536934</v>
      </c>
      <c r="U84" s="63">
        <f t="shared" si="14"/>
        <v>824063</v>
      </c>
      <c r="V84" s="63">
        <f t="shared" si="14"/>
        <v>608848</v>
      </c>
      <c r="W84" s="63">
        <f t="shared" si="14"/>
        <v>526030</v>
      </c>
      <c r="X84" s="63">
        <f t="shared" si="14"/>
        <v>562044</v>
      </c>
      <c r="Y84" s="63">
        <f t="shared" si="14"/>
        <v>777090</v>
      </c>
      <c r="Z84" s="63">
        <f t="shared" si="14"/>
        <v>558370</v>
      </c>
      <c r="AA84" s="63">
        <f t="shared" si="14"/>
        <v>591025</v>
      </c>
      <c r="AB84" s="63">
        <f t="shared" si="14"/>
        <v>695663</v>
      </c>
      <c r="AC84" s="63">
        <f t="shared" si="14"/>
        <v>614922</v>
      </c>
      <c r="AD84" s="63">
        <f t="shared" si="14"/>
        <v>700168</v>
      </c>
      <c r="AE84" s="63">
        <f t="shared" si="14"/>
        <v>824330</v>
      </c>
      <c r="AF84" s="63">
        <f t="shared" si="14"/>
        <v>836064</v>
      </c>
      <c r="AG84" s="63">
        <f t="shared" si="14"/>
        <v>1241364</v>
      </c>
      <c r="AH84" s="63">
        <f t="shared" si="14"/>
        <v>851112</v>
      </c>
      <c r="AI84" s="63">
        <f t="shared" si="14"/>
        <v>785531</v>
      </c>
      <c r="AJ84" s="63">
        <f t="shared" si="14"/>
        <v>943124</v>
      </c>
      <c r="AK84"/>
    </row>
    <row r="85" spans="2:42" ht="15" outlineLevel="1" x14ac:dyDescent="0.25">
      <c r="B85" s="25" t="s">
        <v>49</v>
      </c>
      <c r="C85" s="25" t="s">
        <v>18</v>
      </c>
      <c r="D85" s="62"/>
      <c r="E85" s="62">
        <f>SUM(E84+E60)</f>
        <v>1056790</v>
      </c>
      <c r="F85" s="62"/>
      <c r="G85" s="62">
        <f t="shared" ref="G85:AJ85" si="15">SUM(G84+G60)</f>
        <v>1482111</v>
      </c>
      <c r="H85" s="62">
        <f t="shared" si="15"/>
        <v>1349697</v>
      </c>
      <c r="I85" s="62">
        <f t="shared" si="15"/>
        <v>1576305</v>
      </c>
      <c r="J85" s="62">
        <f t="shared" si="15"/>
        <v>1681313</v>
      </c>
      <c r="K85" s="62">
        <f t="shared" si="15"/>
        <v>1674133</v>
      </c>
      <c r="L85" s="62">
        <f t="shared" si="15"/>
        <v>1682337</v>
      </c>
      <c r="M85" s="62">
        <f t="shared" si="15"/>
        <v>1621243</v>
      </c>
      <c r="N85" s="62">
        <f t="shared" si="15"/>
        <v>1664479</v>
      </c>
      <c r="O85" s="62">
        <f t="shared" si="15"/>
        <v>1689279</v>
      </c>
      <c r="P85" s="62">
        <f t="shared" si="15"/>
        <v>1701949</v>
      </c>
      <c r="Q85" s="62">
        <f t="shared" si="15"/>
        <v>1734718</v>
      </c>
      <c r="R85" s="62">
        <f t="shared" si="15"/>
        <v>1806614</v>
      </c>
      <c r="S85" s="62">
        <f t="shared" si="15"/>
        <v>1951504</v>
      </c>
      <c r="T85" s="62">
        <f t="shared" si="15"/>
        <v>2060313</v>
      </c>
      <c r="U85" s="62">
        <f t="shared" si="15"/>
        <v>2220373</v>
      </c>
      <c r="V85" s="62">
        <f t="shared" si="15"/>
        <v>2144094</v>
      </c>
      <c r="W85" s="62">
        <f t="shared" si="15"/>
        <v>2222533</v>
      </c>
      <c r="X85" s="62">
        <f t="shared" si="15"/>
        <v>2300389</v>
      </c>
      <c r="Y85" s="62">
        <f t="shared" si="15"/>
        <v>2427291</v>
      </c>
      <c r="Z85" s="62">
        <f t="shared" si="15"/>
        <v>2287729</v>
      </c>
      <c r="AA85" s="62">
        <f t="shared" si="15"/>
        <v>2599292</v>
      </c>
      <c r="AB85" s="62">
        <f t="shared" si="15"/>
        <v>2715361</v>
      </c>
      <c r="AC85" s="62">
        <f t="shared" si="15"/>
        <v>2511172</v>
      </c>
      <c r="AD85" s="62">
        <f t="shared" si="15"/>
        <v>3331448</v>
      </c>
      <c r="AE85" s="62">
        <f t="shared" si="15"/>
        <v>3821881</v>
      </c>
      <c r="AF85" s="62">
        <f t="shared" si="15"/>
        <v>3763732</v>
      </c>
      <c r="AG85" s="62">
        <f t="shared" si="15"/>
        <v>4072708</v>
      </c>
      <c r="AH85" s="62">
        <f t="shared" si="15"/>
        <v>3952965</v>
      </c>
      <c r="AI85" s="62">
        <f t="shared" si="15"/>
        <v>4027236</v>
      </c>
      <c r="AJ85" s="62">
        <f t="shared" si="15"/>
        <v>4126001</v>
      </c>
      <c r="AK85"/>
      <c r="AN85" s="24"/>
      <c r="AO85" s="24"/>
      <c r="AP85" s="24"/>
    </row>
    <row r="86" spans="2:42" outlineLevel="1" x14ac:dyDescent="0.2">
      <c r="B86" s="26"/>
      <c r="C86" s="26"/>
      <c r="D86" s="26"/>
      <c r="E86" s="26"/>
      <c r="F86" s="26"/>
      <c r="G86" s="26"/>
      <c r="H86" s="26"/>
      <c r="I86" s="26"/>
      <c r="J86" s="26"/>
      <c r="K86" s="226">
        <f>K50-K85</f>
        <v>0</v>
      </c>
      <c r="L86" s="227"/>
      <c r="M86" s="227"/>
      <c r="N86" s="227"/>
      <c r="O86" s="226">
        <f>O50-O85</f>
        <v>0</v>
      </c>
      <c r="P86" s="227"/>
      <c r="Q86" s="227"/>
      <c r="R86" s="227"/>
      <c r="S86" s="226">
        <f>S50-S85</f>
        <v>0</v>
      </c>
      <c r="T86" s="26"/>
      <c r="U86" s="26"/>
      <c r="V86" s="26"/>
      <c r="W86" s="26"/>
      <c r="X86" s="33"/>
      <c r="AB86" s="59"/>
      <c r="AC86" s="59"/>
      <c r="AD86" s="59"/>
      <c r="AF86" s="24"/>
    </row>
    <row r="87" spans="2:42" s="24" customFormat="1" outlineLevel="1" x14ac:dyDescent="0.2">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F87" s="2"/>
      <c r="AG87" s="2"/>
      <c r="AH87" s="2"/>
      <c r="AI87" s="2"/>
      <c r="AJ87" s="2"/>
      <c r="AK87" s="2"/>
      <c r="AL87" s="2"/>
      <c r="AM87" s="2"/>
      <c r="AN87" s="2"/>
      <c r="AO87" s="2"/>
      <c r="AP87" s="2"/>
    </row>
  </sheetData>
  <pageMargins left="0.7" right="0.7" top="0.75" bottom="0.75" header="0.3" footer="0.3"/>
  <pageSetup paperSize="9" scale="27" orientation="portrait"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BW98"/>
  <sheetViews>
    <sheetView showGridLines="0" view="pageBreakPreview" zoomScaleNormal="100" zoomScaleSheetLayoutView="100" workbookViewId="0">
      <pane xSplit="3" ySplit="1" topLeftCell="D62" activePane="bottomRight" state="frozen"/>
      <selection activeCell="AF81" sqref="AF81"/>
      <selection pane="topRight" activeCell="AF81" sqref="AF81"/>
      <selection pane="bottomLeft" activeCell="AF81" sqref="AF81"/>
      <selection pane="bottomRight" activeCell="AL74" sqref="AL74"/>
    </sheetView>
  </sheetViews>
  <sheetFormatPr defaultColWidth="9.42578125" defaultRowHeight="12.75" outlineLevelRow="1" outlineLevelCol="1" x14ac:dyDescent="0.2"/>
  <cols>
    <col min="1" max="1" width="4" style="2" customWidth="1"/>
    <col min="2" max="2" width="75.5703125" style="2" customWidth="1"/>
    <col min="3" max="3" width="12.5703125" style="2" customWidth="1"/>
    <col min="4" max="4" width="11.42578125" style="2" hidden="1" customWidth="1" outlineLevel="1"/>
    <col min="5" max="5" width="10" style="2" hidden="1" customWidth="1" outlineLevel="1"/>
    <col min="6" max="6" width="11.42578125" style="2" hidden="1" customWidth="1" outlineLevel="1"/>
    <col min="7" max="7" width="10" style="2" customWidth="1" outlineLevel="1"/>
    <col min="8" max="8" width="11.42578125" style="2" hidden="1" customWidth="1" outlineLevel="1"/>
    <col min="9" max="9" width="9.42578125" style="2" hidden="1" customWidth="1" outlineLevel="1"/>
    <col min="10" max="10" width="11.42578125" style="2" hidden="1" customWidth="1" outlineLevel="1"/>
    <col min="11" max="11" width="10" style="2" customWidth="1" outlineLevel="1"/>
    <col min="12" max="12" width="11.42578125" style="2" hidden="1" customWidth="1" outlineLevel="1"/>
    <col min="13" max="13" width="10.42578125" style="2" hidden="1" customWidth="1" outlineLevel="1"/>
    <col min="14" max="14" width="11.42578125" style="2" hidden="1" customWidth="1" outlineLevel="1"/>
    <col min="15" max="15" width="10.42578125" style="2" customWidth="1" outlineLevel="1"/>
    <col min="16" max="16" width="11.42578125" style="2" hidden="1" customWidth="1" outlineLevel="1"/>
    <col min="17" max="17" width="9.5703125" style="2" hidden="1" customWidth="1" outlineLevel="1"/>
    <col min="18" max="18" width="14.5703125" style="2" hidden="1" customWidth="1" outlineLevel="1"/>
    <col min="19" max="19" width="12.42578125" style="2" customWidth="1" outlineLevel="1"/>
    <col min="20" max="20" width="11.42578125" style="2" hidden="1" customWidth="1" outlineLevel="1"/>
    <col min="21" max="22" width="13.42578125" style="2" hidden="1" customWidth="1" outlineLevel="1"/>
    <col min="23" max="23" width="12.85546875" style="2" customWidth="1"/>
    <col min="24" max="26" width="12.85546875" style="2" hidden="1" customWidth="1"/>
    <col min="27" max="27" width="12.85546875" style="2" customWidth="1"/>
    <col min="28" max="30" width="12.85546875" style="2" hidden="1" customWidth="1"/>
    <col min="31" max="31" width="12.85546875" style="2" customWidth="1"/>
    <col min="32" max="34" width="12.85546875" style="2" hidden="1" customWidth="1"/>
    <col min="35" max="35" width="12.85546875" style="2" customWidth="1"/>
    <col min="36" max="36" width="14.7109375" style="2" customWidth="1"/>
    <col min="37" max="38" width="12.140625" style="2" bestFit="1" customWidth="1"/>
    <col min="39" max="16384" width="9.42578125" style="2"/>
  </cols>
  <sheetData>
    <row r="1" spans="2:75" x14ac:dyDescent="0.2">
      <c r="B1" s="3" t="s">
        <v>132</v>
      </c>
      <c r="C1" s="3"/>
      <c r="D1" s="4" t="s">
        <v>105</v>
      </c>
      <c r="E1" s="4" t="s">
        <v>106</v>
      </c>
      <c r="F1" s="4" t="s">
        <v>107</v>
      </c>
      <c r="G1" s="5">
        <v>2018</v>
      </c>
      <c r="H1" s="4" t="s">
        <v>108</v>
      </c>
      <c r="I1" s="4" t="s">
        <v>109</v>
      </c>
      <c r="J1" s="4" t="s">
        <v>110</v>
      </c>
      <c r="K1" s="5">
        <v>2019</v>
      </c>
      <c r="L1" s="4" t="s">
        <v>111</v>
      </c>
      <c r="M1" s="4" t="s">
        <v>104</v>
      </c>
      <c r="N1" s="4" t="s">
        <v>112</v>
      </c>
      <c r="O1" s="5">
        <v>2020</v>
      </c>
      <c r="P1" s="4" t="s">
        <v>102</v>
      </c>
      <c r="Q1" s="4" t="s">
        <v>101</v>
      </c>
      <c r="R1" s="4" t="s">
        <v>103</v>
      </c>
      <c r="S1" s="5">
        <v>2021</v>
      </c>
      <c r="T1" s="5" t="s">
        <v>227</v>
      </c>
      <c r="U1" s="5" t="s">
        <v>273</v>
      </c>
      <c r="V1" s="5" t="s">
        <v>299</v>
      </c>
      <c r="W1" s="5">
        <v>2022</v>
      </c>
      <c r="X1" s="4" t="s">
        <v>319</v>
      </c>
      <c r="Y1" s="4" t="s">
        <v>321</v>
      </c>
      <c r="Z1" s="4" t="s">
        <v>323</v>
      </c>
      <c r="AA1" s="5">
        <v>2023</v>
      </c>
      <c r="AB1" s="5" t="s">
        <v>332</v>
      </c>
      <c r="AC1" s="5" t="s">
        <v>336</v>
      </c>
      <c r="AD1" s="5" t="s">
        <v>338</v>
      </c>
      <c r="AE1" s="5">
        <v>2024</v>
      </c>
      <c r="AF1" s="5" t="s">
        <v>347</v>
      </c>
      <c r="AG1" s="5" t="s">
        <v>352</v>
      </c>
      <c r="AH1" s="5" t="s">
        <v>361</v>
      </c>
      <c r="AI1" s="5">
        <v>2025</v>
      </c>
      <c r="AJ1" s="5" t="s">
        <v>368</v>
      </c>
    </row>
    <row r="2" spans="2:75" x14ac:dyDescent="0.2">
      <c r="D2" s="14"/>
      <c r="E2" s="14"/>
      <c r="F2" s="14"/>
      <c r="G2" s="14"/>
      <c r="H2" s="14"/>
      <c r="I2" s="15"/>
      <c r="J2" s="14"/>
      <c r="K2" s="14"/>
      <c r="L2" s="14"/>
      <c r="M2" s="14"/>
      <c r="N2" s="14"/>
      <c r="O2" s="14"/>
      <c r="P2" s="15"/>
      <c r="Q2" s="14"/>
      <c r="R2" s="14"/>
      <c r="S2" s="14"/>
      <c r="T2" s="1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row>
    <row r="3" spans="2:75" x14ac:dyDescent="0.2">
      <c r="B3" s="7" t="s">
        <v>75</v>
      </c>
      <c r="C3" s="8"/>
      <c r="D3" s="4"/>
      <c r="E3" s="4"/>
      <c r="F3" s="4"/>
      <c r="G3" s="5"/>
      <c r="H3" s="4"/>
      <c r="I3" s="4"/>
      <c r="J3" s="4"/>
      <c r="K3" s="5"/>
      <c r="L3" s="4"/>
      <c r="M3" s="4"/>
      <c r="N3" s="4"/>
      <c r="O3" s="5"/>
      <c r="P3" s="4"/>
      <c r="Q3" s="4"/>
      <c r="R3" s="4"/>
      <c r="S3" s="5"/>
      <c r="T3" s="5"/>
      <c r="U3" s="130"/>
      <c r="V3" s="130"/>
      <c r="W3" s="130"/>
      <c r="X3" s="130"/>
      <c r="Y3" s="130"/>
      <c r="Z3" s="130"/>
      <c r="AA3" s="130"/>
      <c r="AB3" s="130"/>
      <c r="AC3" s="130"/>
      <c r="AD3" s="130"/>
      <c r="AE3" s="130"/>
      <c r="AF3" s="130"/>
      <c r="AG3" s="130"/>
      <c r="AH3" s="130"/>
      <c r="AI3" s="130"/>
      <c r="AJ3" s="130"/>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row>
    <row r="5" spans="2:75" x14ac:dyDescent="0.2">
      <c r="B5" s="2" t="s">
        <v>99</v>
      </c>
      <c r="C5" s="68" t="s">
        <v>168</v>
      </c>
      <c r="D5" s="125" t="str">
        <f>'5. Operational &amp; Cost Metrics'!E5</f>
        <v>not disclosed</v>
      </c>
      <c r="E5" s="125">
        <f>'5. Operational &amp; Cost Metrics'!F5</f>
        <v>23.64</v>
      </c>
      <c r="F5" s="125" t="str">
        <f>'5. Operational &amp; Cost Metrics'!G5</f>
        <v>not disclosed</v>
      </c>
      <c r="G5" s="125">
        <f>'5. Operational &amp; Cost Metrics'!H5</f>
        <v>24.46</v>
      </c>
      <c r="H5" s="125" t="str">
        <f>'5. Operational &amp; Cost Metrics'!I5</f>
        <v>not disclosed</v>
      </c>
      <c r="I5" s="125">
        <f>'5. Operational &amp; Cost Metrics'!J5</f>
        <v>26.99</v>
      </c>
      <c r="J5" s="125" t="str">
        <f>'5. Operational &amp; Cost Metrics'!K5</f>
        <v>not disclosed</v>
      </c>
      <c r="K5" s="125">
        <f>'5. Operational &amp; Cost Metrics'!L5</f>
        <v>26.6</v>
      </c>
      <c r="L5" s="125" t="str">
        <f>'5. Operational &amp; Cost Metrics'!M5</f>
        <v>not disclosed</v>
      </c>
      <c r="M5" s="125">
        <f>'5. Operational &amp; Cost Metrics'!N5</f>
        <v>27.81</v>
      </c>
      <c r="N5" s="125" t="str">
        <f>'5. Operational &amp; Cost Metrics'!O5</f>
        <v>not disclosed</v>
      </c>
      <c r="O5" s="125">
        <f>'5. Operational &amp; Cost Metrics'!P5</f>
        <v>29.54</v>
      </c>
      <c r="P5" s="125">
        <v>29.71</v>
      </c>
      <c r="Q5" s="125">
        <f>'5. Operational &amp; Cost Metrics'!R5</f>
        <v>29.63</v>
      </c>
      <c r="R5" s="125">
        <f>'5. Operational &amp; Cost Metrics'!S5</f>
        <v>30.27</v>
      </c>
      <c r="S5" s="125">
        <f>'5. Operational &amp; Cost Metrics'!T5</f>
        <v>33.11</v>
      </c>
      <c r="T5" s="125">
        <f>'5. Operational &amp; Cost Metrics'!U5</f>
        <v>39.36</v>
      </c>
      <c r="U5" s="125">
        <f>'5. Operational &amp; Cost Metrics'!V5</f>
        <v>40.880000000000003</v>
      </c>
      <c r="V5" s="125">
        <f>'5. Operational &amp; Cost Metrics'!W5</f>
        <v>42.6</v>
      </c>
      <c r="W5" s="125">
        <f>'5. Operational &amp; Cost Metrics'!X5</f>
        <v>43.44</v>
      </c>
      <c r="X5" s="68">
        <v>46.75</v>
      </c>
      <c r="Y5" s="125">
        <f>'1.Income Statement'!Y5</f>
        <v>47.04</v>
      </c>
      <c r="Z5" s="125">
        <v>48.3</v>
      </c>
      <c r="AA5" s="24">
        <v>55.09</v>
      </c>
      <c r="AB5" s="24">
        <v>62.53</v>
      </c>
      <c r="AC5" s="24">
        <v>66.19</v>
      </c>
      <c r="AD5" s="24">
        <f>'1.Income Statement'!AD5</f>
        <v>66.81</v>
      </c>
      <c r="AE5" s="24">
        <f>'1.Income Statement'!AE5</f>
        <v>69.48</v>
      </c>
      <c r="AF5" s="209">
        <f>'1.Income Statement'!AF5</f>
        <v>54.71</v>
      </c>
      <c r="AG5" s="209">
        <f>'1.Income Statement'!AG5</f>
        <v>58.54</v>
      </c>
      <c r="AH5" s="209">
        <f>'1.Income Statement'!AH5</f>
        <v>62.97</v>
      </c>
      <c r="AI5" s="24">
        <f>'1.Income Statement'!AI5</f>
        <v>65.319999999999993</v>
      </c>
      <c r="AJ5" s="24">
        <f>'1.Income Statement'!AJ5</f>
        <v>61.33</v>
      </c>
    </row>
    <row r="6" spans="2:75" outlineLevel="1" x14ac:dyDescent="0.2">
      <c r="B6" s="68" t="s">
        <v>249</v>
      </c>
      <c r="C6" s="68" t="s">
        <v>168</v>
      </c>
      <c r="D6" s="125">
        <f>'5. Operational &amp; Cost Metrics'!E6</f>
        <v>23.1</v>
      </c>
      <c r="E6" s="125">
        <f>'5. Operational &amp; Cost Metrics'!F6</f>
        <v>24.29</v>
      </c>
      <c r="F6" s="125">
        <f>'5. Operational &amp; Cost Metrics'!G6</f>
        <v>21.11</v>
      </c>
      <c r="G6" s="125">
        <f>'5. Operational &amp; Cost Metrics'!H6</f>
        <v>24.37</v>
      </c>
      <c r="H6" s="125">
        <f>'5. Operational &amp; Cost Metrics'!I6</f>
        <v>26.78</v>
      </c>
      <c r="I6" s="125">
        <f>'5. Operational &amp; Cost Metrics'!J6</f>
        <v>27.43</v>
      </c>
      <c r="J6" s="125">
        <f>'5. Operational &amp; Cost Metrics'!K6</f>
        <v>27.59</v>
      </c>
      <c r="K6" s="125">
        <f>'5. Operational &amp; Cost Metrics'!L6</f>
        <v>26.89</v>
      </c>
      <c r="L6" s="125">
        <f>'5. Operational &amp; Cost Metrics'!M6</f>
        <v>26.43</v>
      </c>
      <c r="M6" s="125">
        <f>'5. Operational &amp; Cost Metrics'!N6</f>
        <v>27.86</v>
      </c>
      <c r="N6" s="125">
        <f>'5. Operational &amp; Cost Metrics'!O6</f>
        <v>29.58</v>
      </c>
      <c r="O6" s="125">
        <f>'5. Operational &amp; Cost Metrics'!P6</f>
        <v>29.63</v>
      </c>
      <c r="P6" s="125">
        <f>'5. Operational &amp; Cost Metrics'!Q6</f>
        <v>29.71</v>
      </c>
      <c r="Q6" s="125">
        <f>'5. Operational &amp; Cost Metrics'!R6</f>
        <v>29.63</v>
      </c>
      <c r="R6" s="125">
        <f>'5. Operational &amp; Cost Metrics'!S6</f>
        <v>29.99</v>
      </c>
      <c r="S6" s="125">
        <f>'5. Operational &amp; Cost Metrics'!T6</f>
        <v>32.33</v>
      </c>
      <c r="T6" s="125">
        <f>'5. Operational &amp; Cost Metrics'!U6</f>
        <v>37.74</v>
      </c>
      <c r="U6" s="125">
        <f>'5. Operational &amp; Cost Metrics'!V6</f>
        <v>39.700000000000003</v>
      </c>
      <c r="V6" s="125">
        <f>'5. Operational &amp; Cost Metrics'!W6</f>
        <v>41.98</v>
      </c>
      <c r="W6" s="125">
        <f>'5. Operational &amp; Cost Metrics'!X6</f>
        <v>42.5</v>
      </c>
      <c r="X6" s="170">
        <v>46.75</v>
      </c>
      <c r="Y6" s="125">
        <f>'1.Income Statement'!Y6</f>
        <v>46.63</v>
      </c>
      <c r="Z6" s="125">
        <v>47.81</v>
      </c>
      <c r="AA6" s="84">
        <v>52.1</v>
      </c>
      <c r="AB6" s="84">
        <v>56.15</v>
      </c>
      <c r="AC6" s="84">
        <v>62.47</v>
      </c>
      <c r="AD6" s="84">
        <f>'1.Income Statement'!AD6</f>
        <v>63.46</v>
      </c>
      <c r="AE6" s="84">
        <f>'1.Income Statement'!AE6</f>
        <v>65.78</v>
      </c>
      <c r="AF6" s="84">
        <f>'1.Income Statement'!AF6</f>
        <v>54.69</v>
      </c>
      <c r="AG6" s="84">
        <f>'1.Income Statement'!AG6</f>
        <v>57.27</v>
      </c>
      <c r="AH6" s="84">
        <f>'1.Income Statement'!AH6</f>
        <v>61.37</v>
      </c>
      <c r="AI6" s="84">
        <f>'1.Income Statement'!AI6</f>
        <v>62.33</v>
      </c>
      <c r="AJ6" s="84">
        <f>'1.Income Statement'!AJ6</f>
        <v>61.33</v>
      </c>
    </row>
    <row r="7" spans="2:75" outlineLevel="1" x14ac:dyDescent="0.2">
      <c r="B7" s="68" t="s">
        <v>206</v>
      </c>
      <c r="C7" s="68" t="s">
        <v>168</v>
      </c>
      <c r="D7" s="125">
        <f>'5. Operational &amp; Cost Metrics'!E7</f>
        <v>21.43</v>
      </c>
      <c r="E7" s="125">
        <f>'5. Operational &amp; Cost Metrics'!F7</f>
        <v>22.13</v>
      </c>
      <c r="F7" s="125">
        <f>'5. Operational &amp; Cost Metrics'!G7</f>
        <v>26.53</v>
      </c>
      <c r="G7" s="125">
        <f>'5. Operational &amp; Cost Metrics'!H7</f>
        <v>24.59</v>
      </c>
      <c r="H7" s="125">
        <f>'5. Operational &amp; Cost Metrics'!I7</f>
        <v>27.41</v>
      </c>
      <c r="I7" s="125">
        <f>'5. Operational &amp; Cost Metrics'!J7</f>
        <v>24.62</v>
      </c>
      <c r="J7" s="125">
        <f>'5. Operational &amp; Cost Metrics'!K7</f>
        <v>25.83</v>
      </c>
      <c r="K7" s="125">
        <f>'5. Operational &amp; Cost Metrics'!L7</f>
        <v>25.64</v>
      </c>
      <c r="L7" s="125">
        <f>'5. Operational &amp; Cost Metrics'!M7</f>
        <v>25.59</v>
      </c>
      <c r="M7" s="125">
        <f>'5. Operational &amp; Cost Metrics'!N7</f>
        <v>29.46</v>
      </c>
      <c r="N7" s="125">
        <f>'5. Operational &amp; Cost Metrics'!O7</f>
        <v>30</v>
      </c>
      <c r="O7" s="125">
        <f>'5. Operational &amp; Cost Metrics'!P7</f>
        <v>29.96</v>
      </c>
      <c r="P7" s="125">
        <f>'5. Operational &amp; Cost Metrics'!Q7</f>
        <v>29.12</v>
      </c>
      <c r="Q7" s="125">
        <f>'5. Operational &amp; Cost Metrics'!R7</f>
        <v>30.18</v>
      </c>
      <c r="R7" s="125">
        <f>'5. Operational &amp; Cost Metrics'!S7</f>
        <v>31.96</v>
      </c>
      <c r="S7" s="125">
        <f>'5. Operational &amp; Cost Metrics'!T7</f>
        <v>35.28</v>
      </c>
      <c r="T7" s="125">
        <f>'5. Operational &amp; Cost Metrics'!U7</f>
        <v>50.01</v>
      </c>
      <c r="U7" s="125">
        <f>'5. Operational &amp; Cost Metrics'!V7</f>
        <v>50.09</v>
      </c>
      <c r="V7" s="125">
        <f>'5. Operational &amp; Cost Metrics'!W7</f>
        <v>49.77</v>
      </c>
      <c r="W7" s="125">
        <f>'5. Operational &amp; Cost Metrics'!X7</f>
        <v>49.81</v>
      </c>
      <c r="X7" s="170">
        <v>50.68</v>
      </c>
      <c r="Y7" s="125">
        <f>'1.Income Statement'!Y7</f>
        <v>52.6</v>
      </c>
      <c r="Z7" s="125">
        <v>55.94</v>
      </c>
      <c r="AA7" s="182">
        <v>62.51</v>
      </c>
      <c r="AB7" s="182">
        <v>94.33</v>
      </c>
      <c r="AC7" s="182">
        <v>91.1</v>
      </c>
      <c r="AD7" s="182">
        <f>'1.Income Statement'!AD7</f>
        <v>87.93</v>
      </c>
      <c r="AE7" s="182">
        <f>'1.Income Statement'!AE7</f>
        <v>85.14</v>
      </c>
      <c r="AF7" s="182">
        <f>'1.Income Statement'!AF7</f>
        <v>66.180000000000007</v>
      </c>
      <c r="AG7" s="182">
        <f>'1.Income Statement'!AG7</f>
        <v>69.38</v>
      </c>
      <c r="AH7" s="182">
        <f>'1.Income Statement'!AH7</f>
        <v>71.680000000000007</v>
      </c>
      <c r="AI7" s="182">
        <f>'1.Income Statement'!AI7</f>
        <v>73.540000000000006</v>
      </c>
      <c r="AJ7" s="182">
        <f>'1.Income Statement'!AJ7</f>
        <v>88.49</v>
      </c>
    </row>
    <row r="8" spans="2:75" outlineLevel="1" x14ac:dyDescent="0.2">
      <c r="B8" s="2" t="s">
        <v>304</v>
      </c>
      <c r="C8" s="68" t="s">
        <v>168</v>
      </c>
      <c r="D8" s="125"/>
      <c r="E8" s="165" t="str">
        <f>'5. Operational &amp; Cost Metrics'!F8</f>
        <v>not disclosed</v>
      </c>
      <c r="F8" s="125"/>
      <c r="G8" s="125">
        <f>'5. Operational &amp; Cost Metrics'!H8</f>
        <v>24.64</v>
      </c>
      <c r="H8" s="125"/>
      <c r="I8" s="125">
        <f>'5. Operational &amp; Cost Metrics'!J8</f>
        <v>26.47</v>
      </c>
      <c r="J8" s="125"/>
      <c r="K8" s="125">
        <f>'5. Operational &amp; Cost Metrics'!L8</f>
        <v>25.84</v>
      </c>
      <c r="L8" s="125"/>
      <c r="M8" s="125">
        <f>'5. Operational &amp; Cost Metrics'!N8</f>
        <v>28.66</v>
      </c>
      <c r="N8" s="125"/>
      <c r="O8" s="125">
        <f>'5. Operational &amp; Cost Metrics'!P8</f>
        <v>29.6</v>
      </c>
      <c r="P8" s="125"/>
      <c r="Q8" s="125" t="str">
        <f>'5. Operational &amp; Cost Metrics'!R8</f>
        <v>29.95</v>
      </c>
      <c r="R8" s="125"/>
      <c r="S8" s="125">
        <f>'5. Operational &amp; Cost Metrics'!T8</f>
        <v>35.049999999999997</v>
      </c>
      <c r="T8" s="125"/>
      <c r="U8" s="125">
        <f>'5. Operational &amp; Cost Metrics'!V8</f>
        <v>50.31</v>
      </c>
      <c r="V8" s="125"/>
      <c r="W8" s="125">
        <f>'5. Operational &amp; Cost Metrics'!X8</f>
        <v>49.61</v>
      </c>
      <c r="X8" s="170"/>
      <c r="Y8" s="125">
        <f>'1.Income Statement'!Y8</f>
        <v>52.16</v>
      </c>
      <c r="Z8" s="125"/>
      <c r="AA8" s="24">
        <v>60.53</v>
      </c>
      <c r="AB8" s="24"/>
      <c r="AC8" s="24">
        <v>92.62</v>
      </c>
      <c r="AD8" s="24"/>
      <c r="AE8" s="24">
        <f>'1.Income Statement'!AE8</f>
        <v>86.28</v>
      </c>
      <c r="AF8" s="24"/>
      <c r="AG8" s="24">
        <f>'1.Income Statement'!AG8</f>
        <v>69.11</v>
      </c>
      <c r="AH8" s="24"/>
      <c r="AI8" s="24">
        <f>'1.Income Statement'!AI8</f>
        <v>72.75</v>
      </c>
      <c r="AJ8" s="24">
        <f>'1.Income Statement'!AJ8</f>
        <v>0</v>
      </c>
    </row>
    <row r="9" spans="2:75" outlineLevel="1" x14ac:dyDescent="0.2">
      <c r="B9" s="68" t="s">
        <v>73</v>
      </c>
      <c r="C9" s="68" t="s">
        <v>248</v>
      </c>
      <c r="D9" s="125">
        <f>'5. Operational &amp; Cost Metrics'!E9</f>
        <v>323.31</v>
      </c>
      <c r="E9" s="125">
        <f>'5. Operational &amp; Cost Metrics'!F9</f>
        <v>326.49</v>
      </c>
      <c r="F9" s="125">
        <f>'5. Operational &amp; Cost Metrics'!G9</f>
        <v>336.4</v>
      </c>
      <c r="G9" s="125">
        <f>'5. Operational &amp; Cost Metrics'!H9</f>
        <v>344.9</v>
      </c>
      <c r="H9" s="125">
        <f>'5. Operational &amp; Cost Metrics'!I9</f>
        <v>378.09</v>
      </c>
      <c r="I9" s="125">
        <f>'5. Operational &amp; Cost Metrics'!J9</f>
        <v>379.31</v>
      </c>
      <c r="J9" s="125">
        <f>'5. Operational &amp; Cost Metrics'!K9</f>
        <v>381.51</v>
      </c>
      <c r="K9" s="125">
        <f>'5. Operational &amp; Cost Metrics'!L9</f>
        <v>382.87</v>
      </c>
      <c r="L9" s="125">
        <f>'5. Operational &amp; Cost Metrics'!M9</f>
        <v>391.01</v>
      </c>
      <c r="M9" s="125">
        <f>'5. Operational &amp; Cost Metrics'!N9</f>
        <v>404.59</v>
      </c>
      <c r="N9" s="125">
        <f>'5. Operational &amp; Cost Metrics'!O9</f>
        <v>409.05</v>
      </c>
      <c r="O9" s="125">
        <f>'5. Operational &amp; Cost Metrics'!P9</f>
        <v>413.36</v>
      </c>
      <c r="P9" s="125">
        <f>'5. Operational &amp; Cost Metrics'!Q9</f>
        <v>419.89</v>
      </c>
      <c r="Q9" s="125">
        <f>'5. Operational &amp; Cost Metrics'!R9</f>
        <v>424.18</v>
      </c>
      <c r="R9" s="125">
        <f>'5. Operational &amp; Cost Metrics'!S9</f>
        <v>424.69</v>
      </c>
      <c r="S9" s="125">
        <f>'5. Operational &amp; Cost Metrics'!T9</f>
        <v>426.03</v>
      </c>
      <c r="T9" s="125">
        <f>'5. Operational &amp; Cost Metrics'!U9</f>
        <v>457.02</v>
      </c>
      <c r="U9" s="125">
        <f>'5. Operational &amp; Cost Metrics'!V9</f>
        <v>449.85</v>
      </c>
      <c r="V9" s="125">
        <f>'5. Operational &amp; Cost Metrics'!W9</f>
        <v>458.44</v>
      </c>
      <c r="W9" s="125">
        <f>'5. Operational &amp; Cost Metrics'!X9</f>
        <v>460.48</v>
      </c>
      <c r="X9" s="170">
        <v>454.94</v>
      </c>
      <c r="Y9" s="125">
        <f>'1.Income Statement'!Y9</f>
        <v>451.86</v>
      </c>
      <c r="Z9" s="183">
        <f>'1.Income Statement'!Z9</f>
        <v>452.93</v>
      </c>
      <c r="AA9" s="183">
        <f>'1.Income Statement'!AA9</f>
        <v>456.24</v>
      </c>
      <c r="AB9" s="183">
        <f>'1.Income Statement'!AB9</f>
        <v>450.27</v>
      </c>
      <c r="AC9" s="183">
        <f>'1.Income Statement'!AC9</f>
        <v>449</v>
      </c>
      <c r="AD9" s="183">
        <f>'1.Income Statement'!AD9</f>
        <v>458.69</v>
      </c>
      <c r="AE9" s="183">
        <f>'1.Income Statement'!AE9</f>
        <v>469.11</v>
      </c>
      <c r="AF9" s="210">
        <f>'1.Income Statement'!AF9</f>
        <v>510.28</v>
      </c>
      <c r="AG9" s="210">
        <f>'1.Income Statement'!AG9</f>
        <v>512.08000000000004</v>
      </c>
      <c r="AH9" s="210">
        <f>'1.Income Statement'!AH9</f>
        <v>520.21</v>
      </c>
      <c r="AI9" s="183">
        <f>'1.Income Statement'!AI9</f>
        <v>521.37</v>
      </c>
      <c r="AJ9" s="183">
        <f>'1.Income Statement'!AJ9</f>
        <v>497.39</v>
      </c>
    </row>
    <row r="10" spans="2:75" outlineLevel="1" x14ac:dyDescent="0.2">
      <c r="B10" s="147" t="s">
        <v>72</v>
      </c>
      <c r="C10" s="147" t="s">
        <v>248</v>
      </c>
      <c r="D10" s="148">
        <f>'5. Operational &amp; Cost Metrics'!E10</f>
        <v>318.31</v>
      </c>
      <c r="E10" s="148">
        <f>'5. Operational &amp; Cost Metrics'!F10</f>
        <v>341.08</v>
      </c>
      <c r="F10" s="148">
        <f>'5. Operational &amp; Cost Metrics'!G10</f>
        <v>363.07</v>
      </c>
      <c r="G10" s="148">
        <f>'5. Operational &amp; Cost Metrics'!H10</f>
        <v>384.2</v>
      </c>
      <c r="H10" s="148">
        <f>'5. Operational &amp; Cost Metrics'!I10</f>
        <v>380.04</v>
      </c>
      <c r="I10" s="148">
        <f>'5. Operational &amp; Cost Metrics'!J10</f>
        <v>380.53</v>
      </c>
      <c r="J10" s="148">
        <f>'5. Operational &amp; Cost Metrics'!K10</f>
        <v>387.63</v>
      </c>
      <c r="K10" s="148">
        <f>'5. Operational &amp; Cost Metrics'!L10</f>
        <v>381.18</v>
      </c>
      <c r="L10" s="148">
        <f>'5. Operational &amp; Cost Metrics'!M10</f>
        <v>448.01</v>
      </c>
      <c r="M10" s="148">
        <f>'5. Operational &amp; Cost Metrics'!N10</f>
        <v>403.83</v>
      </c>
      <c r="N10" s="148">
        <f>'5. Operational &amp; Cost Metrics'!O10</f>
        <v>429.51</v>
      </c>
      <c r="O10" s="148">
        <f>'5. Operational &amp; Cost Metrics'!P10</f>
        <v>420.71</v>
      </c>
      <c r="P10" s="148">
        <f>'5. Operational &amp; Cost Metrics'!Q10</f>
        <v>424.34</v>
      </c>
      <c r="Q10" s="148">
        <f>'5. Operational &amp; Cost Metrics'!R10</f>
        <v>427.79</v>
      </c>
      <c r="R10" s="148">
        <f>'5. Operational &amp; Cost Metrics'!S10</f>
        <v>425.67</v>
      </c>
      <c r="S10" s="148">
        <f>'5. Operational &amp; Cost Metrics'!T10</f>
        <v>431.67</v>
      </c>
      <c r="T10" s="148">
        <f>'5. Operational &amp; Cost Metrics'!U10</f>
        <v>458.2</v>
      </c>
      <c r="U10" s="148">
        <f>'5. Operational &amp; Cost Metrics'!V10</f>
        <v>465.08</v>
      </c>
      <c r="V10" s="148">
        <f>'5. Operational &amp; Cost Metrics'!W10</f>
        <v>476.89</v>
      </c>
      <c r="W10" s="148">
        <f>'5. Operational &amp; Cost Metrics'!X10</f>
        <v>462.65</v>
      </c>
      <c r="X10" s="148">
        <v>448.05</v>
      </c>
      <c r="Y10" s="148">
        <f>'1.Income Statement'!Y10</f>
        <v>454.13</v>
      </c>
      <c r="Z10" s="148">
        <v>474.74</v>
      </c>
      <c r="AA10" s="75" t="s">
        <v>324</v>
      </c>
      <c r="AB10" s="75">
        <v>446.78</v>
      </c>
      <c r="AC10" s="150">
        <v>471.46</v>
      </c>
      <c r="AD10" s="150">
        <f>'1.Income Statement'!AD10</f>
        <v>479.23</v>
      </c>
      <c r="AE10" s="150">
        <f>'1.Income Statement'!AE10</f>
        <v>523.54</v>
      </c>
      <c r="AF10" s="150">
        <f>'1.Income Statement'!AF10</f>
        <v>504.44</v>
      </c>
      <c r="AG10" s="150">
        <f>'1.Income Statement'!AG10</f>
        <v>520.39</v>
      </c>
      <c r="AH10" s="150">
        <f>'1.Income Statement'!AH10</f>
        <v>548.79</v>
      </c>
      <c r="AI10" s="150">
        <f>'1.Income Statement'!AI10</f>
        <v>502.57</v>
      </c>
      <c r="AJ10" s="150">
        <f>'1.Income Statement'!AJ10</f>
        <v>481.54</v>
      </c>
    </row>
    <row r="11" spans="2:75" ht="15" outlineLevel="1" x14ac:dyDescent="0.25">
      <c r="B11" s="124" t="s">
        <v>301</v>
      </c>
      <c r="U11" s="24"/>
      <c r="V11" s="24"/>
      <c r="W11" s="24"/>
      <c r="X11" s="24"/>
      <c r="Y11" s="24"/>
      <c r="Z11" s="24"/>
      <c r="AA11" s="31"/>
      <c r="AB11" s="31"/>
      <c r="AC11" s="24"/>
      <c r="AD11" s="24"/>
      <c r="AE11" s="24"/>
      <c r="AF11" s="24"/>
      <c r="AG11" s="24"/>
      <c r="AH11" s="24"/>
      <c r="AI11" s="24"/>
      <c r="AJ11" s="24"/>
      <c r="AK11"/>
      <c r="AL11"/>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row>
    <row r="12" spans="2:75" ht="15" x14ac:dyDescent="0.25">
      <c r="U12" s="24"/>
      <c r="V12" s="24"/>
      <c r="W12" s="24"/>
      <c r="X12" s="24"/>
      <c r="Y12" s="24"/>
      <c r="Z12" s="24"/>
      <c r="AA12" s="24"/>
      <c r="AB12" s="24"/>
      <c r="AC12" s="24"/>
      <c r="AD12" s="24"/>
      <c r="AE12" s="24"/>
      <c r="AF12" s="24"/>
      <c r="AG12" s="24"/>
      <c r="AH12" s="24"/>
      <c r="AI12" s="24"/>
      <c r="AJ12"/>
      <c r="AK12"/>
      <c r="AL12"/>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row>
    <row r="13" spans="2:75" ht="15" x14ac:dyDescent="0.25">
      <c r="B13" s="7" t="s">
        <v>76</v>
      </c>
      <c r="C13" s="8"/>
      <c r="D13" s="8"/>
      <c r="E13" s="8"/>
      <c r="F13" s="8"/>
      <c r="G13" s="8"/>
      <c r="H13" s="8"/>
      <c r="I13" s="8"/>
      <c r="J13" s="8"/>
      <c r="K13" s="8"/>
      <c r="L13" s="8"/>
      <c r="M13" s="8"/>
      <c r="N13" s="8"/>
      <c r="O13" s="8"/>
      <c r="P13" s="8"/>
      <c r="Q13" s="8"/>
      <c r="R13" s="8"/>
      <c r="S13" s="8"/>
      <c r="T13" s="8"/>
      <c r="U13" s="130"/>
      <c r="V13" s="130"/>
      <c r="W13" s="130"/>
      <c r="X13" s="130"/>
      <c r="Y13" s="130"/>
      <c r="Z13" s="130"/>
      <c r="AA13" s="130"/>
      <c r="AB13" s="130"/>
      <c r="AC13" s="130"/>
      <c r="AD13" s="130"/>
      <c r="AE13" s="130"/>
      <c r="AF13" s="130"/>
      <c r="AG13" s="130"/>
      <c r="AH13" s="130"/>
      <c r="AI13" s="130"/>
      <c r="AJ13" s="130"/>
      <c r="AK13"/>
      <c r="AL13"/>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row>
    <row r="14" spans="2:75" ht="15" x14ac:dyDescent="0.25">
      <c r="B14" s="122"/>
      <c r="U14" s="24"/>
      <c r="V14" s="24"/>
      <c r="W14" s="24"/>
      <c r="X14" s="24"/>
      <c r="Y14" s="24"/>
      <c r="Z14" s="24"/>
      <c r="AA14" s="24"/>
      <c r="AB14" s="24"/>
      <c r="AC14" s="24"/>
      <c r="AD14" s="24"/>
      <c r="AE14" s="24"/>
      <c r="AF14" s="24"/>
      <c r="AG14" s="24"/>
      <c r="AH14" s="24"/>
      <c r="AI14" s="24"/>
      <c r="AJ14"/>
      <c r="AK14"/>
      <c r="AL1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row>
    <row r="15" spans="2:75" ht="15" outlineLevel="1" x14ac:dyDescent="0.25">
      <c r="B15" s="24" t="s">
        <v>7</v>
      </c>
      <c r="C15" s="24"/>
      <c r="D15" s="74">
        <f>'1.Income Statement'!D31</f>
        <v>315716</v>
      </c>
      <c r="E15" s="74">
        <f>'1.Income Statement'!E31</f>
        <v>328801</v>
      </c>
      <c r="F15" s="74">
        <f>'1.Income Statement'!F31</f>
        <v>364729</v>
      </c>
      <c r="G15" s="74">
        <f>'1.Income Statement'!G31</f>
        <v>452381</v>
      </c>
      <c r="H15" s="74">
        <f>'1.Income Statement'!H31</f>
        <v>69689</v>
      </c>
      <c r="I15" s="74">
        <f>'1.Income Statement'!I31</f>
        <v>112454</v>
      </c>
      <c r="J15" s="74">
        <f>'1.Income Statement'!J31</f>
        <v>159278</v>
      </c>
      <c r="K15" s="74">
        <f>'1.Income Statement'!K31</f>
        <v>247255</v>
      </c>
      <c r="L15" s="74">
        <f>'1.Income Statement'!L31</f>
        <v>46138</v>
      </c>
      <c r="M15" s="74">
        <f>'1.Income Statement'!M31</f>
        <v>88690</v>
      </c>
      <c r="N15" s="74">
        <f>'1.Income Statement'!N31</f>
        <v>203294</v>
      </c>
      <c r="O15" s="74">
        <f>'1.Income Statement'!O31</f>
        <v>285144</v>
      </c>
      <c r="P15" s="74">
        <f>'1.Income Statement'!P31</f>
        <v>10374</v>
      </c>
      <c r="Q15" s="74">
        <f>'1.Income Statement'!Q31</f>
        <v>74509</v>
      </c>
      <c r="R15" s="74">
        <f>'1.Income Statement'!R31</f>
        <v>101778</v>
      </c>
      <c r="S15" s="74">
        <f>'1.Income Statement'!S31</f>
        <v>281644</v>
      </c>
      <c r="T15" s="74">
        <f>'1.Income Statement'!T31</f>
        <v>83927</v>
      </c>
      <c r="U15" s="74">
        <f>'1.Income Statement'!U31</f>
        <v>213740</v>
      </c>
      <c r="V15" s="74">
        <f>'1.Income Statement'!V31</f>
        <v>381619</v>
      </c>
      <c r="W15" s="74">
        <f>'1.Income Statement'!W31</f>
        <v>583705</v>
      </c>
      <c r="X15" s="74">
        <f>'1.Income Statement'!X31</f>
        <v>137415</v>
      </c>
      <c r="Y15" s="74">
        <f>'1.Income Statement'!Y31</f>
        <v>283685</v>
      </c>
      <c r="Z15" s="74">
        <f>'1.Income Statement'!Z31</f>
        <v>382933</v>
      </c>
      <c r="AA15" s="74">
        <f>'1.Income Statement'!AA31</f>
        <v>728342</v>
      </c>
      <c r="AB15" s="74">
        <f>'1.Income Statement'!AB31</f>
        <v>121635</v>
      </c>
      <c r="AC15" s="74">
        <f>'1.Income Statement'!AC31</f>
        <v>654324</v>
      </c>
      <c r="AD15" s="74">
        <f>'1.Income Statement'!AD31</f>
        <v>876402</v>
      </c>
      <c r="AE15" s="74">
        <f>'1.Income Statement'!AE31</f>
        <v>1369112</v>
      </c>
      <c r="AF15" s="74">
        <f>'1.Income Statement'!AF31</f>
        <v>40065</v>
      </c>
      <c r="AG15" s="74">
        <f>'1.Income Statement'!AG31</f>
        <v>322577</v>
      </c>
      <c r="AH15" s="74">
        <f>'1.Income Statement'!AH31</f>
        <v>651617</v>
      </c>
      <c r="AI15" s="74">
        <f>'1.Income Statement'!AI31</f>
        <v>995672</v>
      </c>
      <c r="AJ15" s="74">
        <v>17306</v>
      </c>
      <c r="AK15"/>
      <c r="AL15"/>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row>
    <row r="16" spans="2:75" ht="15" x14ac:dyDescent="0.25">
      <c r="B16" s="24"/>
      <c r="C16" s="24"/>
      <c r="D16" s="74"/>
      <c r="E16" s="74"/>
      <c r="F16" s="74"/>
      <c r="G16" s="74"/>
      <c r="H16" s="74"/>
      <c r="I16" s="74"/>
      <c r="J16" s="74"/>
      <c r="K16" s="74"/>
      <c r="L16" s="74"/>
      <c r="M16" s="74"/>
      <c r="N16" s="74"/>
      <c r="O16" s="74"/>
      <c r="P16" s="74"/>
      <c r="Q16" s="74"/>
      <c r="R16" s="74"/>
      <c r="S16" s="24"/>
      <c r="T16" s="24"/>
      <c r="U16" s="24"/>
      <c r="V16" s="24"/>
      <c r="W16" s="24"/>
      <c r="X16" s="24"/>
      <c r="Y16" s="24"/>
      <c r="Z16" s="24"/>
      <c r="AA16" s="24"/>
      <c r="AB16" s="24"/>
      <c r="AC16" s="24"/>
      <c r="AD16" s="24"/>
      <c r="AE16" s="24"/>
      <c r="AF16" s="24"/>
      <c r="AG16" s="24"/>
      <c r="AH16" s="24"/>
      <c r="AI16" s="24"/>
      <c r="AJ16"/>
      <c r="AK16"/>
      <c r="AL16"/>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row>
    <row r="17" spans="2:75" s="26" customFormat="1" ht="15" x14ac:dyDescent="0.25">
      <c r="B17" s="30" t="s">
        <v>133</v>
      </c>
      <c r="U17" s="24"/>
      <c r="V17" s="24"/>
      <c r="W17" s="24"/>
      <c r="X17" s="24"/>
      <c r="Y17" s="24"/>
      <c r="Z17" s="24"/>
      <c r="AA17" s="24"/>
      <c r="AB17" s="24"/>
      <c r="AC17" s="24"/>
      <c r="AD17" s="24"/>
      <c r="AE17" s="24"/>
      <c r="AF17" s="24"/>
      <c r="AG17" s="24"/>
      <c r="AH17" s="24"/>
      <c r="AI17" s="24"/>
      <c r="AJ17"/>
      <c r="AK17"/>
      <c r="AL17"/>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row>
    <row r="18" spans="2:75" ht="15" outlineLevel="1" x14ac:dyDescent="0.25">
      <c r="B18" s="182" t="s">
        <v>329</v>
      </c>
      <c r="C18" s="24" t="s">
        <v>18</v>
      </c>
      <c r="D18" s="16">
        <v>113157</v>
      </c>
      <c r="E18" s="16">
        <v>182320</v>
      </c>
      <c r="F18" s="16">
        <v>377301</v>
      </c>
      <c r="G18" s="16">
        <v>556151</v>
      </c>
      <c r="H18" s="16">
        <v>125321</v>
      </c>
      <c r="I18" s="16">
        <v>251521</v>
      </c>
      <c r="J18" s="16">
        <v>341429</v>
      </c>
      <c r="K18" s="16">
        <v>597461</v>
      </c>
      <c r="L18" s="16">
        <v>123064</v>
      </c>
      <c r="M18" s="16">
        <v>235175</v>
      </c>
      <c r="N18" s="16">
        <v>495198</v>
      </c>
      <c r="O18" s="16">
        <v>685890</v>
      </c>
      <c r="P18" s="16">
        <v>147216</v>
      </c>
      <c r="Q18" s="16">
        <v>239840</v>
      </c>
      <c r="R18" s="16">
        <v>413306</v>
      </c>
      <c r="S18" s="16">
        <v>782316</v>
      </c>
      <c r="T18" s="126">
        <v>269522</v>
      </c>
      <c r="U18" s="129">
        <v>665531</v>
      </c>
      <c r="V18" s="129">
        <v>970553</v>
      </c>
      <c r="W18" s="132">
        <v>1213489</v>
      </c>
      <c r="X18" s="132">
        <v>440908</v>
      </c>
      <c r="Y18" s="132">
        <v>825078</v>
      </c>
      <c r="Z18" s="132">
        <v>1032254</v>
      </c>
      <c r="AA18" s="132">
        <f>1216066+243872</f>
        <v>1459938</v>
      </c>
      <c r="AB18" s="132">
        <f>496046+46536</f>
        <v>542582</v>
      </c>
      <c r="AC18" s="132">
        <f>840949+92054</f>
        <v>933003</v>
      </c>
      <c r="AD18" s="132">
        <f>1250862+116712</f>
        <v>1367574</v>
      </c>
      <c r="AE18" s="132">
        <f>1605362+168806</f>
        <v>1774168</v>
      </c>
      <c r="AF18" s="132">
        <v>717468</v>
      </c>
      <c r="AG18" s="132">
        <f>1122914+2633</f>
        <v>1125547</v>
      </c>
      <c r="AH18" s="132">
        <f xml:space="preserve"> 1561465+43816</f>
        <v>1605281</v>
      </c>
      <c r="AI18" s="132">
        <f xml:space="preserve"> 2167956+141625</f>
        <v>2309581</v>
      </c>
      <c r="AJ18" s="220">
        <v>420820</v>
      </c>
      <c r="AK18"/>
      <c r="AL18"/>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row>
    <row r="19" spans="2:75" ht="15" outlineLevel="1" x14ac:dyDescent="0.25">
      <c r="B19" s="182" t="s">
        <v>354</v>
      </c>
      <c r="C19" s="24" t="s">
        <v>18</v>
      </c>
      <c r="D19" s="16"/>
      <c r="E19" s="16"/>
      <c r="F19" s="16"/>
      <c r="G19" s="16"/>
      <c r="H19" s="16"/>
      <c r="I19" s="16"/>
      <c r="J19" s="16"/>
      <c r="K19" s="16"/>
      <c r="L19" s="16"/>
      <c r="M19" s="16"/>
      <c r="N19" s="16"/>
      <c r="O19" s="16"/>
      <c r="P19" s="16"/>
      <c r="Q19" s="16"/>
      <c r="R19" s="16"/>
      <c r="S19" s="16"/>
      <c r="T19" s="126"/>
      <c r="U19" s="129"/>
      <c r="V19" s="129"/>
      <c r="W19" s="132"/>
      <c r="X19" s="132"/>
      <c r="Y19" s="132"/>
      <c r="Z19" s="132"/>
      <c r="AA19" s="132"/>
      <c r="AB19" s="132"/>
      <c r="AC19" s="132"/>
      <c r="AD19" s="132"/>
      <c r="AE19" s="132"/>
      <c r="AF19" s="132">
        <v>33104</v>
      </c>
      <c r="AG19" s="132"/>
      <c r="AH19" s="132"/>
      <c r="AI19" s="132"/>
      <c r="AJ19" s="220">
        <v>23638</v>
      </c>
      <c r="AK19"/>
      <c r="AL19"/>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row>
    <row r="20" spans="2:75" ht="15" outlineLevel="1" x14ac:dyDescent="0.25">
      <c r="B20" s="24" t="s">
        <v>134</v>
      </c>
      <c r="C20" s="24" t="s">
        <v>18</v>
      </c>
      <c r="D20" s="16">
        <v>2841</v>
      </c>
      <c r="E20" s="16">
        <v>12808</v>
      </c>
      <c r="F20" s="16">
        <v>20476</v>
      </c>
      <c r="G20" s="16">
        <v>23403</v>
      </c>
      <c r="H20" s="16">
        <v>8127</v>
      </c>
      <c r="I20" s="16">
        <v>20298</v>
      </c>
      <c r="J20" s="16">
        <v>23856</v>
      </c>
      <c r="K20" s="16">
        <v>23859</v>
      </c>
      <c r="L20" s="16">
        <v>3086</v>
      </c>
      <c r="M20" s="16">
        <v>20964</v>
      </c>
      <c r="N20" s="16">
        <v>20964</v>
      </c>
      <c r="O20" s="16">
        <v>20971</v>
      </c>
      <c r="P20" s="16">
        <v>8723</v>
      </c>
      <c r="Q20" s="16">
        <v>23528</v>
      </c>
      <c r="R20" s="16">
        <v>30757</v>
      </c>
      <c r="S20" s="16">
        <v>45204</v>
      </c>
      <c r="T20" s="126">
        <v>7151</v>
      </c>
      <c r="U20" s="54">
        <v>9738</v>
      </c>
      <c r="V20" s="54">
        <v>33532</v>
      </c>
      <c r="W20" s="132">
        <v>74910</v>
      </c>
      <c r="X20" s="132">
        <v>24364</v>
      </c>
      <c r="Y20" s="132">
        <v>24364</v>
      </c>
      <c r="Z20" s="132">
        <v>24364</v>
      </c>
      <c r="AA20" s="132">
        <v>24364</v>
      </c>
      <c r="AB20" s="132">
        <v>6133</v>
      </c>
      <c r="AC20" s="132">
        <v>21133</v>
      </c>
      <c r="AD20" s="132">
        <v>53865</v>
      </c>
      <c r="AE20" s="132">
        <v>53865</v>
      </c>
      <c r="AF20" s="132">
        <v>17429</v>
      </c>
      <c r="AG20" s="132">
        <v>57484</v>
      </c>
      <c r="AH20" s="132">
        <v>75484</v>
      </c>
      <c r="AI20" s="132">
        <v>90484</v>
      </c>
      <c r="AJ20" s="220">
        <v>11173</v>
      </c>
      <c r="AK20"/>
      <c r="AL20"/>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row>
    <row r="21" spans="2:75" ht="15" outlineLevel="1" x14ac:dyDescent="0.25">
      <c r="B21" s="24" t="s">
        <v>51</v>
      </c>
      <c r="C21" s="24" t="s">
        <v>18</v>
      </c>
      <c r="D21" s="16">
        <v>481</v>
      </c>
      <c r="E21" s="16">
        <v>1006</v>
      </c>
      <c r="F21" s="16">
        <v>1474</v>
      </c>
      <c r="G21" s="16">
        <v>2003</v>
      </c>
      <c r="H21" s="16">
        <v>4345</v>
      </c>
      <c r="I21" s="16">
        <v>8023</v>
      </c>
      <c r="J21" s="16">
        <v>9094</v>
      </c>
      <c r="K21" s="16">
        <v>11343</v>
      </c>
      <c r="L21" s="16">
        <v>1027</v>
      </c>
      <c r="M21" s="16">
        <v>1971</v>
      </c>
      <c r="N21" s="16">
        <v>2914</v>
      </c>
      <c r="O21" s="16">
        <v>4221</v>
      </c>
      <c r="P21" s="16">
        <v>971</v>
      </c>
      <c r="Q21" s="16">
        <v>1992</v>
      </c>
      <c r="R21" s="16">
        <v>2970</v>
      </c>
      <c r="S21" s="16">
        <v>4104</v>
      </c>
      <c r="T21" s="126">
        <v>1310</v>
      </c>
      <c r="U21" s="54">
        <v>4889</v>
      </c>
      <c r="V21" s="54">
        <v>8098</v>
      </c>
      <c r="W21" s="132">
        <v>11701</v>
      </c>
      <c r="X21" s="132">
        <v>4159</v>
      </c>
      <c r="Y21" s="132">
        <v>9263</v>
      </c>
      <c r="Z21" s="132">
        <v>13708</v>
      </c>
      <c r="AA21" s="132">
        <v>17936</v>
      </c>
      <c r="AB21" s="132">
        <v>5600</v>
      </c>
      <c r="AC21" s="132">
        <v>12019</v>
      </c>
      <c r="AD21" s="132">
        <v>16866</v>
      </c>
      <c r="AE21" s="132">
        <v>23666</v>
      </c>
      <c r="AF21" s="132">
        <v>9658</v>
      </c>
      <c r="AG21" s="132">
        <v>21353</v>
      </c>
      <c r="AH21" s="132">
        <v>33171</v>
      </c>
      <c r="AI21" s="132">
        <v>46348</v>
      </c>
      <c r="AJ21" s="220">
        <v>9470</v>
      </c>
      <c r="AK21"/>
      <c r="AL21"/>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row>
    <row r="22" spans="2:75" s="68" customFormat="1" ht="15" outlineLevel="1" x14ac:dyDescent="0.25">
      <c r="B22" s="182" t="s">
        <v>330</v>
      </c>
      <c r="C22" s="57" t="s">
        <v>18</v>
      </c>
      <c r="D22" s="80">
        <v>-133944</v>
      </c>
      <c r="E22" s="80">
        <v>-207003</v>
      </c>
      <c r="F22" s="80">
        <v>-288875</v>
      </c>
      <c r="G22" s="80">
        <v>-390425</v>
      </c>
      <c r="H22" s="80">
        <v>-37155</v>
      </c>
      <c r="I22" s="80">
        <v>-97002</v>
      </c>
      <c r="J22" s="80">
        <v>-192456</v>
      </c>
      <c r="K22" s="80">
        <v>-315683</v>
      </c>
      <c r="L22" s="80">
        <v>-64400</v>
      </c>
      <c r="M22" s="80">
        <v>-147147</v>
      </c>
      <c r="N22" s="80">
        <v>-225144</v>
      </c>
      <c r="O22" s="80">
        <v>-380576</v>
      </c>
      <c r="P22" s="80">
        <v>-46014</v>
      </c>
      <c r="Q22" s="80">
        <v>-122877</v>
      </c>
      <c r="R22" s="80">
        <v>-242426</v>
      </c>
      <c r="S22" s="80">
        <v>-503301</v>
      </c>
      <c r="T22" s="80">
        <v>-101912</v>
      </c>
      <c r="U22" s="104">
        <v>-311688</v>
      </c>
      <c r="V22" s="104">
        <v>-460781</v>
      </c>
      <c r="W22" s="104">
        <v>-677658</v>
      </c>
      <c r="X22" s="104">
        <v>-148356</v>
      </c>
      <c r="Y22" s="104">
        <v>-300907</v>
      </c>
      <c r="Z22" s="104">
        <v>-437992</v>
      </c>
      <c r="AA22" s="104">
        <f>-516022-155731</f>
        <v>-671753</v>
      </c>
      <c r="AB22" s="104">
        <v>-164894</v>
      </c>
      <c r="AC22" s="104">
        <f>-319807-50598</f>
        <v>-370405</v>
      </c>
      <c r="AD22" s="104">
        <f>-495504-77034</f>
        <v>-572538</v>
      </c>
      <c r="AE22" s="188">
        <f>-616590+ (-127805)</f>
        <v>-744395</v>
      </c>
      <c r="AF22" s="104">
        <f>-185656+-1750</f>
        <v>-187406</v>
      </c>
      <c r="AG22" s="104">
        <f>-323747-20412</f>
        <v>-344159</v>
      </c>
      <c r="AH22" s="104">
        <f>-526057-44896</f>
        <v>-570953</v>
      </c>
      <c r="AI22" s="104">
        <f>-840638-142257</f>
        <v>-982895</v>
      </c>
      <c r="AJ22" s="223">
        <v>-137974</v>
      </c>
      <c r="AK22"/>
      <c r="AL22"/>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row>
    <row r="23" spans="2:75" s="68" customFormat="1" ht="15" outlineLevel="1" x14ac:dyDescent="0.25">
      <c r="B23" s="57" t="s">
        <v>135</v>
      </c>
      <c r="C23" s="57" t="s">
        <v>18</v>
      </c>
      <c r="D23" s="80">
        <v>-14393</v>
      </c>
      <c r="E23" s="80">
        <v>-22389</v>
      </c>
      <c r="F23" s="80">
        <v>-33405</v>
      </c>
      <c r="G23" s="80">
        <v>-45856</v>
      </c>
      <c r="H23" s="80">
        <v>-10356</v>
      </c>
      <c r="I23" s="80">
        <v>-22112</v>
      </c>
      <c r="J23" s="80">
        <v>-33527</v>
      </c>
      <c r="K23" s="80">
        <v>-47915</v>
      </c>
      <c r="L23" s="80">
        <v>-10732</v>
      </c>
      <c r="M23" s="80">
        <v>-23051</v>
      </c>
      <c r="N23" s="80">
        <v>-33856</v>
      </c>
      <c r="O23" s="80">
        <v>-48125</v>
      </c>
      <c r="P23" s="80">
        <v>-10523</v>
      </c>
      <c r="Q23" s="80">
        <v>-24223</v>
      </c>
      <c r="R23" s="80">
        <v>-37108</v>
      </c>
      <c r="S23" s="80">
        <v>-51856</v>
      </c>
      <c r="T23" s="80">
        <v>-17123</v>
      </c>
      <c r="U23" s="104">
        <v>-34590</v>
      </c>
      <c r="V23" s="104">
        <v>-51706</v>
      </c>
      <c r="W23" s="104">
        <v>-87317</v>
      </c>
      <c r="X23" s="104">
        <v>-30856</v>
      </c>
      <c r="Y23" s="104">
        <v>-56484</v>
      </c>
      <c r="Z23" s="104">
        <v>-79232</v>
      </c>
      <c r="AA23" s="104">
        <v>-107816</v>
      </c>
      <c r="AB23" s="104">
        <v>-33835</v>
      </c>
      <c r="AC23" s="104">
        <v>-64710</v>
      </c>
      <c r="AD23" s="104">
        <v>-96686</v>
      </c>
      <c r="AE23" s="104">
        <v>-135095</v>
      </c>
      <c r="AF23" s="104">
        <v>-40841</v>
      </c>
      <c r="AG23" s="104">
        <v>-79156</v>
      </c>
      <c r="AH23" s="104">
        <v>-114194</v>
      </c>
      <c r="AI23" s="104">
        <v>-156018</v>
      </c>
      <c r="AJ23" s="223">
        <v>-50586</v>
      </c>
      <c r="AK23"/>
      <c r="AL23"/>
      <c r="AM23" s="24"/>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row>
    <row r="24" spans="2:75" ht="15" outlineLevel="1" x14ac:dyDescent="0.25">
      <c r="B24" s="24" t="s">
        <v>50</v>
      </c>
      <c r="C24" s="24" t="s">
        <v>18</v>
      </c>
      <c r="D24" s="16">
        <v>-7238</v>
      </c>
      <c r="E24" s="16">
        <v>-8750</v>
      </c>
      <c r="F24" s="16">
        <v>-10959</v>
      </c>
      <c r="G24" s="16">
        <v>-28642</v>
      </c>
      <c r="H24" s="16">
        <v>-9512</v>
      </c>
      <c r="I24" s="16">
        <v>-17860</v>
      </c>
      <c r="J24" s="16">
        <v>-27441</v>
      </c>
      <c r="K24" s="16">
        <v>-50018</v>
      </c>
      <c r="L24" s="16">
        <v>-9626</v>
      </c>
      <c r="M24" s="16">
        <v>-17645</v>
      </c>
      <c r="N24" s="16">
        <v>-29258</v>
      </c>
      <c r="O24" s="16">
        <v>-59155</v>
      </c>
      <c r="P24" s="16">
        <v>-11347</v>
      </c>
      <c r="Q24" s="16">
        <v>-20282</v>
      </c>
      <c r="R24" s="16">
        <v>-63918</v>
      </c>
      <c r="S24" s="16">
        <v>-97747</v>
      </c>
      <c r="T24" s="126">
        <v>-29127</v>
      </c>
      <c r="U24" s="132">
        <v>-51536</v>
      </c>
      <c r="V24" s="132">
        <v>-75363</v>
      </c>
      <c r="W24" s="132">
        <v>-125914</v>
      </c>
      <c r="X24" s="132">
        <v>-32664</v>
      </c>
      <c r="Y24" s="132">
        <v>-58464</v>
      </c>
      <c r="Z24" s="132">
        <v>-87688</v>
      </c>
      <c r="AA24" s="132">
        <v>-154581</v>
      </c>
      <c r="AB24" s="132">
        <v>-39830</v>
      </c>
      <c r="AC24" s="132">
        <v>-74787</v>
      </c>
      <c r="AD24" s="132">
        <v>-123598</v>
      </c>
      <c r="AE24" s="132">
        <v>-230691</v>
      </c>
      <c r="AF24" s="132">
        <v>-56794</v>
      </c>
      <c r="AG24" s="132">
        <v>-137063</v>
      </c>
      <c r="AH24" s="132">
        <v>-188686</v>
      </c>
      <c r="AI24" s="132">
        <v>-241594</v>
      </c>
      <c r="AJ24" s="223">
        <v>-54155</v>
      </c>
      <c r="AK24"/>
      <c r="AL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row>
    <row r="25" spans="2:75" ht="15" outlineLevel="1" x14ac:dyDescent="0.25">
      <c r="B25" s="24" t="s">
        <v>136</v>
      </c>
      <c r="C25" s="24" t="s">
        <v>18</v>
      </c>
      <c r="F25" s="16">
        <v>-5597</v>
      </c>
      <c r="G25" s="16">
        <v>-51605</v>
      </c>
      <c r="H25" s="16">
        <v>-13838</v>
      </c>
      <c r="I25" s="16">
        <v>-29766</v>
      </c>
      <c r="J25" s="16">
        <v>-42025</v>
      </c>
      <c r="K25" s="16">
        <v>-52334</v>
      </c>
      <c r="L25" s="16">
        <v>-16994</v>
      </c>
      <c r="M25" s="16">
        <v>-31228</v>
      </c>
      <c r="N25" s="16">
        <v>-42159</v>
      </c>
      <c r="O25" s="16">
        <v>-57356</v>
      </c>
      <c r="P25" s="16">
        <v>-12869</v>
      </c>
      <c r="Q25" s="16">
        <v>-25758</v>
      </c>
      <c r="R25" s="16">
        <v>-38564</v>
      </c>
      <c r="S25" s="16">
        <v>-55227</v>
      </c>
      <c r="T25" s="126">
        <v>-25015</v>
      </c>
      <c r="U25" s="132">
        <v>-48153</v>
      </c>
      <c r="V25" s="132">
        <v>-69214</v>
      </c>
      <c r="W25" s="132">
        <v>-89259</v>
      </c>
      <c r="X25" s="132">
        <v>-31749</v>
      </c>
      <c r="Y25" s="132">
        <v>-57845</v>
      </c>
      <c r="Z25" s="132">
        <v>-89356</v>
      </c>
      <c r="AA25" s="132">
        <v>-128832</v>
      </c>
      <c r="AB25" s="132">
        <v>-46626</v>
      </c>
      <c r="AC25" s="132">
        <v>-94682</v>
      </c>
      <c r="AD25" s="132">
        <v>-147731</v>
      </c>
      <c r="AE25" s="132">
        <v>-206549</v>
      </c>
      <c r="AF25" s="132">
        <v>-56993</v>
      </c>
      <c r="AG25" s="132">
        <v>-101758</v>
      </c>
      <c r="AH25" s="132">
        <v>-164380</v>
      </c>
      <c r="AI25" s="132">
        <v>-240225</v>
      </c>
      <c r="AJ25" s="223">
        <v>-67407</v>
      </c>
      <c r="AK25"/>
      <c r="AL25"/>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row>
    <row r="26" spans="2:75" ht="15" outlineLevel="1" x14ac:dyDescent="0.25">
      <c r="B26" s="24" t="s">
        <v>53</v>
      </c>
      <c r="C26" s="24" t="s">
        <v>18</v>
      </c>
      <c r="D26" s="16">
        <v>-1582</v>
      </c>
      <c r="E26" s="16">
        <v>-2993</v>
      </c>
      <c r="F26" s="16">
        <v>-34499</v>
      </c>
      <c r="G26" s="16">
        <v>-6702</v>
      </c>
      <c r="H26" s="16">
        <v>-1137</v>
      </c>
      <c r="I26" s="16">
        <v>-1763</v>
      </c>
      <c r="J26" s="16">
        <v>-5978</v>
      </c>
      <c r="K26" s="16">
        <v>-7184</v>
      </c>
      <c r="L26" s="16">
        <v>-446</v>
      </c>
      <c r="M26" s="16">
        <v>-819</v>
      </c>
      <c r="N26" s="16">
        <v>-4162</v>
      </c>
      <c r="O26" s="16">
        <v>-4277</v>
      </c>
      <c r="P26" s="16">
        <v>-22</v>
      </c>
      <c r="Q26" s="16">
        <v>-70</v>
      </c>
      <c r="R26" s="16">
        <v>-3162</v>
      </c>
      <c r="S26" s="16">
        <v>-3265</v>
      </c>
      <c r="T26" s="126">
        <v>-11</v>
      </c>
      <c r="U26" s="132">
        <v>-15</v>
      </c>
      <c r="V26" s="132">
        <v>-3464</v>
      </c>
      <c r="W26" s="132">
        <v>-3570</v>
      </c>
      <c r="X26" s="132">
        <v>-240</v>
      </c>
      <c r="Y26" s="132">
        <v>-244</v>
      </c>
      <c r="Z26" s="132">
        <v>-3869</v>
      </c>
      <c r="AA26" s="132">
        <v>-3873</v>
      </c>
      <c r="AB26" s="132">
        <v>-16</v>
      </c>
      <c r="AC26" s="132">
        <v>-116</v>
      </c>
      <c r="AD26" s="132">
        <v>-4083</v>
      </c>
      <c r="AE26" s="132">
        <v>-4464</v>
      </c>
      <c r="AF26" s="132">
        <v>-1194</v>
      </c>
      <c r="AG26" s="132">
        <v>-1539</v>
      </c>
      <c r="AH26" s="132">
        <v>-4922</v>
      </c>
      <c r="AI26" s="132">
        <v>-11230</v>
      </c>
      <c r="AJ26" s="223">
        <v>-3769</v>
      </c>
      <c r="AK26"/>
      <c r="AL26"/>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2:75" ht="15" outlineLevel="1" x14ac:dyDescent="0.25">
      <c r="B27" s="24" t="s">
        <v>309</v>
      </c>
      <c r="C27" s="24" t="s">
        <v>18</v>
      </c>
      <c r="D27" s="16"/>
      <c r="E27" s="16"/>
      <c r="F27" s="16"/>
      <c r="G27" s="16"/>
      <c r="H27" s="16"/>
      <c r="I27" s="16"/>
      <c r="J27" s="16"/>
      <c r="K27" s="16"/>
      <c r="L27" s="16"/>
      <c r="M27" s="16"/>
      <c r="N27" s="16"/>
      <c r="O27" s="16"/>
      <c r="P27" s="16"/>
      <c r="Q27" s="16"/>
      <c r="R27" s="16"/>
      <c r="S27" s="16"/>
      <c r="T27" s="126"/>
      <c r="U27" s="132"/>
      <c r="V27" s="132"/>
      <c r="W27" s="132">
        <v>-14812</v>
      </c>
      <c r="X27" s="132">
        <v>14884</v>
      </c>
      <c r="Y27" s="132">
        <v>14884</v>
      </c>
      <c r="Z27" s="132">
        <v>14884</v>
      </c>
      <c r="AA27" s="132">
        <v>14884</v>
      </c>
      <c r="AB27" s="104"/>
      <c r="AC27" s="104"/>
      <c r="AD27" s="104"/>
      <c r="AE27" s="104"/>
      <c r="AF27" s="104"/>
      <c r="AG27" s="104"/>
      <c r="AH27" s="104"/>
      <c r="AI27" s="104"/>
      <c r="AJ27"/>
      <c r="AK27"/>
      <c r="AL27"/>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row>
    <row r="28" spans="2:75" ht="15" outlineLevel="1" x14ac:dyDescent="0.25">
      <c r="B28" s="24" t="s">
        <v>310</v>
      </c>
      <c r="C28" s="24" t="s">
        <v>18</v>
      </c>
      <c r="D28" s="16"/>
      <c r="E28" s="16"/>
      <c r="F28" s="16"/>
      <c r="G28" s="16"/>
      <c r="H28" s="16"/>
      <c r="I28" s="16"/>
      <c r="J28" s="16"/>
      <c r="K28" s="16"/>
      <c r="L28" s="16"/>
      <c r="M28" s="16"/>
      <c r="N28" s="16"/>
      <c r="O28" s="16"/>
      <c r="P28" s="16"/>
      <c r="Q28" s="16"/>
      <c r="R28" s="16"/>
      <c r="S28" s="16"/>
      <c r="T28" s="126"/>
      <c r="U28" s="132"/>
      <c r="V28" s="132"/>
      <c r="W28" s="132">
        <v>-7310</v>
      </c>
      <c r="X28" s="132"/>
      <c r="Y28" s="132"/>
      <c r="Z28" s="132"/>
      <c r="AA28" s="188">
        <v>-11404</v>
      </c>
      <c r="AB28" s="104"/>
      <c r="AC28" s="104"/>
      <c r="AD28" s="104"/>
      <c r="AE28" s="104"/>
      <c r="AF28" s="104"/>
      <c r="AG28" s="104"/>
      <c r="AH28" s="104"/>
      <c r="AI28" s="104"/>
      <c r="AJ28"/>
      <c r="AK28"/>
      <c r="AL28"/>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row>
    <row r="29" spans="2:75" ht="15" outlineLevel="1" x14ac:dyDescent="0.25">
      <c r="B29" s="24" t="s">
        <v>311</v>
      </c>
      <c r="C29" s="24" t="s">
        <v>18</v>
      </c>
      <c r="D29" s="16"/>
      <c r="E29" s="16"/>
      <c r="F29" s="16"/>
      <c r="G29" s="16"/>
      <c r="H29" s="16"/>
      <c r="I29" s="16"/>
      <c r="J29" s="16"/>
      <c r="K29" s="16"/>
      <c r="L29" s="16"/>
      <c r="M29" s="16"/>
      <c r="N29" s="16"/>
      <c r="O29" s="16"/>
      <c r="P29" s="16"/>
      <c r="Q29" s="16"/>
      <c r="R29" s="16"/>
      <c r="S29" s="16"/>
      <c r="T29" s="126"/>
      <c r="U29" s="132"/>
      <c r="V29" s="132"/>
      <c r="W29" s="132">
        <v>-5226</v>
      </c>
      <c r="X29" s="132">
        <v>-1986</v>
      </c>
      <c r="Y29" s="132">
        <v>-3744</v>
      </c>
      <c r="Z29" s="132">
        <v>-5075</v>
      </c>
      <c r="AA29" s="132">
        <v>-6754</v>
      </c>
      <c r="AB29" s="132">
        <v>-2547</v>
      </c>
      <c r="AC29" s="132">
        <v>-5254</v>
      </c>
      <c r="AD29" s="132">
        <v>-4197</v>
      </c>
      <c r="AE29" s="132">
        <v>-5727</v>
      </c>
      <c r="AF29" s="132">
        <v>-2008</v>
      </c>
      <c r="AG29" s="132">
        <v>-4019</v>
      </c>
      <c r="AH29" s="132">
        <v>-5672</v>
      </c>
      <c r="AI29" s="132">
        <v>-7634</v>
      </c>
      <c r="AJ29" s="223">
        <v>-2571</v>
      </c>
      <c r="AK29"/>
      <c r="AL29"/>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row>
    <row r="30" spans="2:75" ht="15" outlineLevel="1" x14ac:dyDescent="0.25">
      <c r="B30" s="182" t="s">
        <v>362</v>
      </c>
      <c r="C30" s="24" t="s">
        <v>18</v>
      </c>
      <c r="E30" s="16"/>
      <c r="F30" s="16">
        <v>-5931</v>
      </c>
      <c r="G30" s="16"/>
      <c r="H30" s="16"/>
      <c r="I30" s="16"/>
      <c r="J30" s="16"/>
      <c r="K30" s="16"/>
      <c r="L30" s="16"/>
      <c r="M30" s="16"/>
      <c r="N30" s="16"/>
      <c r="O30" s="16"/>
      <c r="P30" s="16"/>
      <c r="Q30" s="16">
        <v>8683</v>
      </c>
      <c r="R30" s="16">
        <v>11466</v>
      </c>
      <c r="S30" s="16">
        <v>-1499</v>
      </c>
      <c r="T30" s="126">
        <v>-4262</v>
      </c>
      <c r="U30" s="132">
        <v>22051</v>
      </c>
      <c r="V30" s="132">
        <v>19780</v>
      </c>
      <c r="W30" s="132">
        <v>-5175</v>
      </c>
      <c r="X30" s="132">
        <v>6682</v>
      </c>
      <c r="Y30" s="132">
        <v>23875</v>
      </c>
      <c r="Z30" s="132">
        <v>15373</v>
      </c>
      <c r="AA30" s="188">
        <v>116</v>
      </c>
      <c r="AB30" s="132">
        <v>22960</v>
      </c>
      <c r="AC30" s="132">
        <f>-567-33288</f>
        <v>-33855</v>
      </c>
      <c r="AD30" s="132">
        <f>-238-5349</f>
        <v>-5587</v>
      </c>
      <c r="AE30" s="132">
        <v>-8291</v>
      </c>
      <c r="AF30" s="132">
        <v>-3146</v>
      </c>
      <c r="AG30" s="132">
        <f>10538-8128-6230</f>
        <v>-3820</v>
      </c>
      <c r="AH30" s="132">
        <f>10381-23976</f>
        <v>-13595</v>
      </c>
      <c r="AI30" s="132">
        <v>3028</v>
      </c>
      <c r="AJ30" s="220">
        <v>6091</v>
      </c>
      <c r="AK30"/>
      <c r="AL30"/>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row>
    <row r="31" spans="2:75" ht="15" outlineLevel="1" x14ac:dyDescent="0.25">
      <c r="B31" s="25" t="s">
        <v>138</v>
      </c>
      <c r="C31" s="25" t="s">
        <v>18</v>
      </c>
      <c r="D31" s="62">
        <f>SUM(D18:D26)</f>
        <v>-40678</v>
      </c>
      <c r="E31" s="62">
        <f t="shared" ref="E31:T31" si="0">SUM(E18:E30)</f>
        <v>-45001</v>
      </c>
      <c r="F31" s="62">
        <f t="shared" si="0"/>
        <v>19985</v>
      </c>
      <c r="G31" s="62">
        <f t="shared" si="0"/>
        <v>58327</v>
      </c>
      <c r="H31" s="62">
        <f t="shared" si="0"/>
        <v>65795</v>
      </c>
      <c r="I31" s="62">
        <f t="shared" si="0"/>
        <v>111339</v>
      </c>
      <c r="J31" s="62">
        <f t="shared" si="0"/>
        <v>72952</v>
      </c>
      <c r="K31" s="62">
        <f t="shared" si="0"/>
        <v>159529</v>
      </c>
      <c r="L31" s="62">
        <f t="shared" si="0"/>
        <v>24979</v>
      </c>
      <c r="M31" s="62">
        <f t="shared" si="0"/>
        <v>38220</v>
      </c>
      <c r="N31" s="62">
        <f t="shared" si="0"/>
        <v>184497</v>
      </c>
      <c r="O31" s="62">
        <f t="shared" si="0"/>
        <v>161593</v>
      </c>
      <c r="P31" s="62">
        <f t="shared" si="0"/>
        <v>76135</v>
      </c>
      <c r="Q31" s="62">
        <f t="shared" si="0"/>
        <v>80833</v>
      </c>
      <c r="R31" s="62">
        <f t="shared" si="0"/>
        <v>73321</v>
      </c>
      <c r="S31" s="62">
        <f t="shared" si="0"/>
        <v>118729</v>
      </c>
      <c r="T31" s="62">
        <f t="shared" si="0"/>
        <v>100533</v>
      </c>
      <c r="U31" s="131">
        <f>SUM( U18:U30)</f>
        <v>256227</v>
      </c>
      <c r="V31" s="131">
        <f>SUM( V18:V30)</f>
        <v>371435</v>
      </c>
      <c r="W31" s="131">
        <f t="shared" ref="W31:AI31" si="1">SUM(W18:W30)</f>
        <v>283859</v>
      </c>
      <c r="X31" s="131">
        <f t="shared" si="1"/>
        <v>245146</v>
      </c>
      <c r="Y31" s="131">
        <f t="shared" si="1"/>
        <v>419776</v>
      </c>
      <c r="Z31" s="131">
        <f t="shared" si="1"/>
        <v>397371</v>
      </c>
      <c r="AA31" s="131">
        <f t="shared" si="1"/>
        <v>432225</v>
      </c>
      <c r="AB31" s="131">
        <f t="shared" si="1"/>
        <v>289527</v>
      </c>
      <c r="AC31" s="131">
        <f t="shared" si="1"/>
        <v>322346</v>
      </c>
      <c r="AD31" s="131">
        <f t="shared" si="1"/>
        <v>483885</v>
      </c>
      <c r="AE31" s="131">
        <f t="shared" si="1"/>
        <v>516487</v>
      </c>
      <c r="AF31" s="131">
        <f t="shared" si="1"/>
        <v>429277</v>
      </c>
      <c r="AG31" s="131">
        <f t="shared" si="1"/>
        <v>532870</v>
      </c>
      <c r="AH31" s="131">
        <f t="shared" si="1"/>
        <v>651534</v>
      </c>
      <c r="AI31" s="131">
        <f t="shared" si="1"/>
        <v>809845</v>
      </c>
      <c r="AJ31" s="131">
        <f>SUM(AJ18:AJ30)</f>
        <v>154730</v>
      </c>
      <c r="AK31"/>
      <c r="AL31"/>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row>
    <row r="32" spans="2:75" ht="15" x14ac:dyDescent="0.25">
      <c r="B32" s="26"/>
      <c r="C32" s="24"/>
      <c r="D32" s="16"/>
      <c r="E32" s="16"/>
      <c r="F32" s="16"/>
      <c r="G32" s="24"/>
      <c r="H32" s="24"/>
      <c r="I32" s="24"/>
      <c r="J32" s="24"/>
      <c r="K32" s="24"/>
      <c r="L32" s="24"/>
      <c r="M32" s="24"/>
      <c r="N32" s="24"/>
      <c r="O32" s="24"/>
      <c r="P32" s="24"/>
      <c r="Q32" s="24"/>
      <c r="R32" s="24"/>
      <c r="S32" s="24"/>
      <c r="T32" s="24"/>
      <c r="U32" s="24"/>
      <c r="V32" s="24"/>
      <c r="W32" s="24"/>
      <c r="X32" s="24"/>
      <c r="Y32" s="24"/>
      <c r="Z32" s="24"/>
      <c r="AA32" s="24"/>
      <c r="AB32" s="104"/>
      <c r="AC32" s="24"/>
      <c r="AD32" s="24"/>
      <c r="AE32" s="24"/>
      <c r="AF32" s="24"/>
      <c r="AG32" s="24"/>
      <c r="AH32" s="24"/>
      <c r="AI32" s="24"/>
      <c r="AJ32"/>
      <c r="AK32"/>
      <c r="AL32"/>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row>
    <row r="33" spans="2:75" ht="15" x14ac:dyDescent="0.25">
      <c r="B33" s="30" t="s">
        <v>139</v>
      </c>
      <c r="C33" s="24"/>
      <c r="D33" s="16"/>
      <c r="E33" s="16"/>
      <c r="F33" s="16"/>
      <c r="G33" s="24"/>
      <c r="H33" s="16"/>
      <c r="I33" s="24"/>
      <c r="J33" s="24"/>
      <c r="K33" s="24"/>
      <c r="L33" s="24"/>
      <c r="M33" s="24"/>
      <c r="N33" s="24"/>
      <c r="O33" s="24"/>
      <c r="P33" s="24"/>
      <c r="Q33" s="24"/>
      <c r="R33" s="24"/>
      <c r="S33" s="24"/>
      <c r="T33" s="24"/>
      <c r="U33" s="24"/>
      <c r="V33" s="24"/>
      <c r="W33" s="24"/>
      <c r="X33" s="24"/>
      <c r="Y33" s="24"/>
      <c r="Z33" s="24"/>
      <c r="AA33" s="24"/>
      <c r="AB33" s="104"/>
      <c r="AC33" s="24"/>
      <c r="AD33" s="24"/>
      <c r="AE33" s="24"/>
      <c r="AF33" s="24"/>
      <c r="AG33" s="24"/>
      <c r="AH33" s="24"/>
      <c r="AI33" s="24"/>
      <c r="AJ33"/>
      <c r="AK33"/>
      <c r="AL33"/>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row>
    <row r="34" spans="2:75" ht="15" outlineLevel="1" x14ac:dyDescent="0.25">
      <c r="B34" s="24" t="s">
        <v>140</v>
      </c>
      <c r="C34" s="24" t="s">
        <v>18</v>
      </c>
      <c r="D34" s="16">
        <v>-10906</v>
      </c>
      <c r="E34" s="16">
        <v>-9046</v>
      </c>
      <c r="F34" s="16">
        <v>-13011</v>
      </c>
      <c r="G34" s="16">
        <v>-23578</v>
      </c>
      <c r="H34" s="16">
        <v>-12509</v>
      </c>
      <c r="I34" s="16">
        <v>-9787</v>
      </c>
      <c r="J34" s="16">
        <v>-17999</v>
      </c>
      <c r="K34" s="16">
        <v>-25931</v>
      </c>
      <c r="L34" s="16">
        <v>-3953</v>
      </c>
      <c r="M34" s="16">
        <v>-5915</v>
      </c>
      <c r="N34" s="16">
        <v>-10505</v>
      </c>
      <c r="O34" s="16">
        <v>-15613</v>
      </c>
      <c r="P34" s="16">
        <v>-4127</v>
      </c>
      <c r="Q34" s="16">
        <v>-6038</v>
      </c>
      <c r="R34" s="16">
        <v>-10326</v>
      </c>
      <c r="S34" s="16">
        <v>-16252</v>
      </c>
      <c r="T34" s="126">
        <v>-4279</v>
      </c>
      <c r="U34" s="59">
        <v>-6509</v>
      </c>
      <c r="V34" s="59">
        <v>-10679</v>
      </c>
      <c r="W34" s="59">
        <v>-21571</v>
      </c>
      <c r="X34" s="59">
        <v>-8811</v>
      </c>
      <c r="Y34" s="59">
        <v>-17041</v>
      </c>
      <c r="Z34" s="59">
        <v>-30073</v>
      </c>
      <c r="AA34" s="189">
        <v>-50075</v>
      </c>
      <c r="AB34" s="132">
        <v>-12381</v>
      </c>
      <c r="AC34" s="132">
        <v>-23015</v>
      </c>
      <c r="AD34" s="132">
        <v>-39198</v>
      </c>
      <c r="AE34" s="132">
        <v>-55473</v>
      </c>
      <c r="AF34" s="132">
        <v>-19272</v>
      </c>
      <c r="AG34" s="132">
        <v>-34399</v>
      </c>
      <c r="AH34" s="132">
        <v>-65142</v>
      </c>
      <c r="AI34" s="132">
        <v>-87927</v>
      </c>
      <c r="AJ34" s="223">
        <v>-20911</v>
      </c>
      <c r="AK34"/>
      <c r="AL3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row>
    <row r="35" spans="2:75" ht="15" outlineLevel="1" x14ac:dyDescent="0.25">
      <c r="B35" s="24" t="s">
        <v>203</v>
      </c>
      <c r="C35" s="24" t="s">
        <v>18</v>
      </c>
      <c r="D35" s="16">
        <v>24</v>
      </c>
      <c r="E35" s="16">
        <v>44</v>
      </c>
      <c r="F35" s="16">
        <v>49</v>
      </c>
      <c r="G35" s="16">
        <v>76</v>
      </c>
      <c r="H35" s="16">
        <v>3</v>
      </c>
      <c r="I35" s="16">
        <v>8</v>
      </c>
      <c r="J35" s="16">
        <v>16</v>
      </c>
      <c r="K35" s="16">
        <v>70</v>
      </c>
      <c r="L35" s="16">
        <v>6</v>
      </c>
      <c r="M35" s="16">
        <v>8</v>
      </c>
      <c r="N35" s="16">
        <v>14</v>
      </c>
      <c r="O35" s="16">
        <v>61</v>
      </c>
      <c r="P35" s="16">
        <v>4</v>
      </c>
      <c r="Q35" s="16">
        <v>55</v>
      </c>
      <c r="R35" s="16">
        <v>67</v>
      </c>
      <c r="S35" s="16">
        <v>104</v>
      </c>
      <c r="T35" s="126">
        <v>1</v>
      </c>
      <c r="U35" s="132">
        <v>1202</v>
      </c>
      <c r="V35" s="132">
        <v>1202</v>
      </c>
      <c r="W35" s="59">
        <v>1211</v>
      </c>
      <c r="X35" s="59"/>
      <c r="Y35" s="59">
        <v>20</v>
      </c>
      <c r="Z35" s="59">
        <v>89</v>
      </c>
      <c r="AA35" s="59">
        <v>154</v>
      </c>
      <c r="AB35" s="132"/>
      <c r="AC35" s="132"/>
      <c r="AD35" s="132"/>
      <c r="AE35" s="132">
        <v>96</v>
      </c>
      <c r="AF35" s="132"/>
      <c r="AI35" s="2">
        <v>22</v>
      </c>
      <c r="AJ35"/>
      <c r="AK35"/>
      <c r="AL35"/>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row>
    <row r="36" spans="2:75" ht="15" outlineLevel="1" x14ac:dyDescent="0.25">
      <c r="B36" s="24" t="s">
        <v>141</v>
      </c>
      <c r="C36" s="24" t="s">
        <v>18</v>
      </c>
      <c r="D36" s="16"/>
      <c r="E36" s="16"/>
      <c r="F36" s="28"/>
      <c r="G36" s="16">
        <v>-881</v>
      </c>
      <c r="H36" s="16">
        <v>-41</v>
      </c>
      <c r="I36" s="16"/>
      <c r="J36" s="16"/>
      <c r="K36" s="16">
        <v>-728</v>
      </c>
      <c r="L36" s="16">
        <v>-99</v>
      </c>
      <c r="M36" s="16">
        <v>-70</v>
      </c>
      <c r="N36" s="16">
        <v>-92</v>
      </c>
      <c r="O36" s="16">
        <v>-206</v>
      </c>
      <c r="P36" s="16"/>
      <c r="Q36" s="16">
        <v>-209</v>
      </c>
      <c r="R36" s="16">
        <v>-368</v>
      </c>
      <c r="S36" s="16">
        <v>-373</v>
      </c>
      <c r="T36" s="126">
        <v>-111</v>
      </c>
      <c r="U36" s="132"/>
      <c r="V36" s="132"/>
      <c r="W36" s="59"/>
      <c r="X36" s="59"/>
      <c r="Y36" s="59"/>
      <c r="Z36" s="59"/>
      <c r="AA36" s="59"/>
      <c r="AB36" s="132"/>
      <c r="AC36" s="132"/>
      <c r="AD36" s="132"/>
      <c r="AE36" s="132"/>
      <c r="AF36" s="132"/>
      <c r="AJ36"/>
      <c r="AK36"/>
      <c r="AL36"/>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row>
    <row r="37" spans="2:75" ht="15" outlineLevel="1" x14ac:dyDescent="0.25">
      <c r="B37" s="24" t="s">
        <v>142</v>
      </c>
      <c r="C37" s="24" t="s">
        <v>18</v>
      </c>
      <c r="D37" s="16">
        <v>-1848</v>
      </c>
      <c r="E37" s="16">
        <v>-1850</v>
      </c>
      <c r="F37" s="16">
        <v>-2401</v>
      </c>
      <c r="G37" s="16">
        <v>-2606</v>
      </c>
      <c r="H37" s="16">
        <v>-67</v>
      </c>
      <c r="I37" s="16">
        <v>-87</v>
      </c>
      <c r="J37" s="16">
        <v>-132</v>
      </c>
      <c r="K37" s="16">
        <v>-230</v>
      </c>
      <c r="L37" s="16">
        <v>-123</v>
      </c>
      <c r="M37" s="16">
        <v>-143</v>
      </c>
      <c r="N37" s="16">
        <v>-176</v>
      </c>
      <c r="O37" s="16">
        <v>-395</v>
      </c>
      <c r="P37" s="16">
        <v>-312</v>
      </c>
      <c r="Q37" s="16">
        <v>-356</v>
      </c>
      <c r="R37" s="16">
        <v>-414</v>
      </c>
      <c r="S37" s="16">
        <v>-754</v>
      </c>
      <c r="T37" s="126">
        <v>-58</v>
      </c>
      <c r="U37" s="132">
        <v>-552</v>
      </c>
      <c r="V37" s="132">
        <v>-753</v>
      </c>
      <c r="W37" s="59">
        <v>-1013</v>
      </c>
      <c r="X37" s="59"/>
      <c r="Y37" s="59">
        <v>-324</v>
      </c>
      <c r="Z37" s="59">
        <v>-562</v>
      </c>
      <c r="AA37" s="59">
        <v>-867</v>
      </c>
      <c r="AB37" s="104"/>
      <c r="AC37" s="104"/>
      <c r="AD37" s="104">
        <v>-352</v>
      </c>
      <c r="AE37" s="104">
        <v>-653</v>
      </c>
      <c r="AF37" s="104"/>
      <c r="AH37" s="104">
        <v>-600</v>
      </c>
      <c r="AI37" s="104">
        <v>-932</v>
      </c>
      <c r="AJ37"/>
      <c r="AK37"/>
      <c r="AL37"/>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row>
    <row r="38" spans="2:75" ht="15" outlineLevel="1" x14ac:dyDescent="0.25">
      <c r="B38" s="24" t="s">
        <v>143</v>
      </c>
      <c r="C38" s="24" t="s">
        <v>18</v>
      </c>
      <c r="D38" s="16"/>
      <c r="E38" s="16">
        <v>-10712</v>
      </c>
      <c r="F38" s="16">
        <v>-15353</v>
      </c>
      <c r="G38" s="16">
        <v>-23917</v>
      </c>
      <c r="H38" s="16">
        <v>-2681</v>
      </c>
      <c r="I38" s="16">
        <v>-12835</v>
      </c>
      <c r="J38" s="16">
        <v>-13553</v>
      </c>
      <c r="K38" s="16">
        <v>-20732</v>
      </c>
      <c r="L38" s="16">
        <v>-4767</v>
      </c>
      <c r="M38" s="16">
        <v>-7800</v>
      </c>
      <c r="N38" s="16">
        <v>-10256</v>
      </c>
      <c r="O38" s="16">
        <v>-18102</v>
      </c>
      <c r="P38" s="16">
        <v>-5444</v>
      </c>
      <c r="Q38" s="16">
        <v>-12182</v>
      </c>
      <c r="R38" s="16">
        <v>-17611</v>
      </c>
      <c r="S38" s="16">
        <v>-28233</v>
      </c>
      <c r="T38" s="126">
        <v>-7006</v>
      </c>
      <c r="U38" s="132">
        <v>-16799</v>
      </c>
      <c r="V38" s="132">
        <v>-31081</v>
      </c>
      <c r="W38" s="59">
        <v>-48670</v>
      </c>
      <c r="X38" s="59">
        <v>-12119</v>
      </c>
      <c r="Y38" s="59">
        <v>-21215</v>
      </c>
      <c r="Z38" s="59">
        <v>-36801</v>
      </c>
      <c r="AA38" s="59">
        <v>-55985</v>
      </c>
      <c r="AB38" s="104">
        <v>-23749</v>
      </c>
      <c r="AC38" s="104">
        <v>-51300</v>
      </c>
      <c r="AD38" s="104">
        <v>-81369</v>
      </c>
      <c r="AE38" s="104">
        <v>-115759</v>
      </c>
      <c r="AF38" s="104">
        <v>-34587</v>
      </c>
      <c r="AG38" s="132">
        <v>-77555</v>
      </c>
      <c r="AH38" s="132">
        <v>-91375</v>
      </c>
      <c r="AI38" s="132">
        <v>-136164</v>
      </c>
      <c r="AJ38" s="223">
        <v>-35016</v>
      </c>
      <c r="AK38"/>
      <c r="AL38"/>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row>
    <row r="39" spans="2:75" ht="15" outlineLevel="1" x14ac:dyDescent="0.25">
      <c r="B39" s="24" t="s">
        <v>144</v>
      </c>
      <c r="C39" s="24" t="s">
        <v>18</v>
      </c>
      <c r="D39" s="16">
        <v>-784</v>
      </c>
      <c r="E39" s="16">
        <v>-1003</v>
      </c>
      <c r="F39" s="16">
        <v>-2871</v>
      </c>
      <c r="G39" s="16">
        <v>-8215</v>
      </c>
      <c r="H39" s="16">
        <v>-4308</v>
      </c>
      <c r="I39" s="16">
        <v>-8670</v>
      </c>
      <c r="J39" s="16">
        <v>-1215</v>
      </c>
      <c r="K39" s="16">
        <v>-2394</v>
      </c>
      <c r="L39" s="16">
        <v>-546</v>
      </c>
      <c r="M39" s="16">
        <v>-728</v>
      </c>
      <c r="N39" s="16">
        <v>-838</v>
      </c>
      <c r="O39" s="16">
        <v>-1156</v>
      </c>
      <c r="P39" s="16">
        <v>-12</v>
      </c>
      <c r="Q39" s="16">
        <v>-209</v>
      </c>
      <c r="R39" s="16">
        <v>-805</v>
      </c>
      <c r="S39" s="16">
        <v>-1682</v>
      </c>
      <c r="T39" s="126">
        <v>-1340</v>
      </c>
      <c r="U39" s="132">
        <v>-2065</v>
      </c>
      <c r="V39" s="132">
        <v>-2749</v>
      </c>
      <c r="W39" s="59">
        <v>-3223</v>
      </c>
      <c r="X39" s="59">
        <v>-700</v>
      </c>
      <c r="Y39" s="59">
        <v>-1546</v>
      </c>
      <c r="Z39" s="59">
        <v>-1825</v>
      </c>
      <c r="AA39" s="59">
        <v>-2121</v>
      </c>
      <c r="AB39" s="132">
        <v>-168</v>
      </c>
      <c r="AC39" s="132">
        <v>-301</v>
      </c>
      <c r="AD39" s="132">
        <v>-442</v>
      </c>
      <c r="AE39" s="132">
        <v>-1886</v>
      </c>
      <c r="AF39" s="132">
        <v>-731</v>
      </c>
      <c r="AG39" s="132">
        <v>-1361</v>
      </c>
      <c r="AH39" s="132">
        <v>-2473</v>
      </c>
      <c r="AI39" s="132">
        <v>-4893</v>
      </c>
      <c r="AJ39" s="132">
        <v>-663</v>
      </c>
      <c r="AK39"/>
      <c r="AL39"/>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row>
    <row r="40" spans="2:75" ht="26.25" outlineLevel="1" x14ac:dyDescent="0.25">
      <c r="B40" s="123" t="s">
        <v>244</v>
      </c>
      <c r="C40" s="24" t="s">
        <v>18</v>
      </c>
      <c r="D40" s="16"/>
      <c r="E40" s="16"/>
      <c r="F40" s="16"/>
      <c r="G40" s="16">
        <v>16724</v>
      </c>
      <c r="H40" s="16"/>
      <c r="I40" s="16"/>
      <c r="J40" s="16"/>
      <c r="K40" s="16">
        <v>3744</v>
      </c>
      <c r="L40" s="16"/>
      <c r="M40" s="16"/>
      <c r="N40" s="16"/>
      <c r="O40" s="16"/>
      <c r="P40" s="16"/>
      <c r="Q40" s="16"/>
      <c r="R40" s="16"/>
      <c r="S40" s="16">
        <v>1339</v>
      </c>
      <c r="T40" s="126"/>
      <c r="U40" s="59"/>
      <c r="V40" s="59"/>
      <c r="W40" s="59"/>
      <c r="X40" s="59"/>
      <c r="Y40" s="59"/>
      <c r="Z40" s="59"/>
      <c r="AA40" s="59"/>
      <c r="AB40" s="132"/>
      <c r="AC40" s="132"/>
      <c r="AD40" s="132"/>
      <c r="AE40" s="132">
        <v>11885</v>
      </c>
      <c r="AF40" s="132"/>
      <c r="AJ40"/>
      <c r="AK40"/>
      <c r="AL40"/>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row>
    <row r="41" spans="2:75" ht="15" outlineLevel="1" x14ac:dyDescent="0.25">
      <c r="B41" s="24" t="s">
        <v>365</v>
      </c>
      <c r="C41" s="24" t="s">
        <v>18</v>
      </c>
      <c r="D41" s="16"/>
      <c r="E41" s="16"/>
      <c r="F41" s="16"/>
      <c r="G41" s="16"/>
      <c r="H41" s="16"/>
      <c r="I41" s="16"/>
      <c r="J41" s="16"/>
      <c r="K41" s="16"/>
      <c r="L41" s="16"/>
      <c r="M41" s="16">
        <v>-2999</v>
      </c>
      <c r="N41" s="16">
        <v>-6040</v>
      </c>
      <c r="O41" s="16">
        <v>-11040</v>
      </c>
      <c r="P41" s="16">
        <v>-15219</v>
      </c>
      <c r="Q41" s="16">
        <v>-30774</v>
      </c>
      <c r="R41" s="16">
        <v>-91017</v>
      </c>
      <c r="S41" s="16">
        <v>-126331</v>
      </c>
      <c r="T41" s="126">
        <v>-50012</v>
      </c>
      <c r="U41" s="59">
        <v>-70219</v>
      </c>
      <c r="V41" s="59">
        <v>-80219</v>
      </c>
      <c r="W41" s="59">
        <v>-8804</v>
      </c>
      <c r="X41" s="59">
        <f>-119378+55165</f>
        <v>-64213</v>
      </c>
      <c r="Y41" s="59">
        <v>-477017</v>
      </c>
      <c r="Z41" s="59">
        <v>-560184</v>
      </c>
      <c r="AA41" s="59">
        <f>-46276-3259</f>
        <v>-49535</v>
      </c>
      <c r="AB41" s="104">
        <v>-107945</v>
      </c>
      <c r="AC41" s="104">
        <v>-19877</v>
      </c>
      <c r="AD41" s="104">
        <v>-243578</v>
      </c>
      <c r="AE41" s="104">
        <f>-289342-14365</f>
        <v>-303707</v>
      </c>
      <c r="AF41" s="104">
        <v>-294982</v>
      </c>
      <c r="AG41" s="104">
        <v>-747417</v>
      </c>
      <c r="AH41" s="104">
        <v>-967430</v>
      </c>
      <c r="AI41" s="104">
        <f>-1278706-40976</f>
        <v>-1319682</v>
      </c>
      <c r="AJ41" s="104">
        <v>-173751</v>
      </c>
      <c r="AK41"/>
      <c r="AL41"/>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row>
    <row r="42" spans="2:75" ht="15" outlineLevel="1" x14ac:dyDescent="0.25">
      <c r="B42" s="24" t="s">
        <v>313</v>
      </c>
      <c r="C42" s="24" t="s">
        <v>18</v>
      </c>
      <c r="D42" s="16"/>
      <c r="E42" s="16"/>
      <c r="F42" s="16"/>
      <c r="G42" s="16"/>
      <c r="H42" s="16"/>
      <c r="I42" s="16"/>
      <c r="J42" s="16"/>
      <c r="K42" s="16"/>
      <c r="L42" s="16"/>
      <c r="M42" s="16"/>
      <c r="N42" s="16"/>
      <c r="O42" s="16"/>
      <c r="P42" s="16"/>
      <c r="Q42" s="16"/>
      <c r="R42" s="16"/>
      <c r="S42" s="16"/>
      <c r="T42" s="126"/>
      <c r="U42" s="59"/>
      <c r="V42" s="59"/>
      <c r="W42" s="59"/>
      <c r="X42" s="59"/>
      <c r="Y42" s="59"/>
      <c r="Z42" s="59"/>
      <c r="AA42" s="59"/>
      <c r="AB42" s="104"/>
      <c r="AC42" s="104"/>
      <c r="AD42" s="104"/>
      <c r="AE42" s="104"/>
      <c r="AF42" s="104">
        <v>-10000</v>
      </c>
      <c r="AG42" s="104">
        <v>-23000</v>
      </c>
      <c r="AH42" s="104"/>
      <c r="AI42" s="104"/>
      <c r="AJ42"/>
      <c r="AK42"/>
      <c r="AL42"/>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row>
    <row r="43" spans="2:75" ht="15" outlineLevel="1" x14ac:dyDescent="0.25">
      <c r="B43" s="24" t="s">
        <v>275</v>
      </c>
      <c r="C43" s="24"/>
      <c r="D43" s="16"/>
      <c r="E43" s="16"/>
      <c r="F43" s="16"/>
      <c r="G43" s="16"/>
      <c r="H43" s="16"/>
      <c r="I43" s="16"/>
      <c r="J43" s="16"/>
      <c r="K43" s="16"/>
      <c r="L43" s="16"/>
      <c r="M43" s="16"/>
      <c r="N43" s="16"/>
      <c r="O43" s="16"/>
      <c r="P43" s="16"/>
      <c r="Q43" s="16"/>
      <c r="R43" s="16"/>
      <c r="S43" s="16"/>
      <c r="T43" s="126"/>
      <c r="U43" s="59">
        <v>-8804</v>
      </c>
      <c r="V43" s="59">
        <v>-8804</v>
      </c>
      <c r="W43" s="59"/>
      <c r="X43" s="59"/>
      <c r="Y43" s="59"/>
      <c r="Z43" s="59"/>
      <c r="AA43" s="59"/>
      <c r="AB43" s="104"/>
      <c r="AC43" s="104"/>
      <c r="AD43" s="104"/>
      <c r="AE43" s="104"/>
      <c r="AF43" s="104"/>
      <c r="AJ43"/>
      <c r="AK43"/>
      <c r="AL43"/>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row>
    <row r="44" spans="2:75" ht="15" outlineLevel="1" x14ac:dyDescent="0.25">
      <c r="B44" s="24" t="s">
        <v>366</v>
      </c>
      <c r="C44" s="57" t="s">
        <v>18</v>
      </c>
      <c r="D44" s="80"/>
      <c r="E44" s="80"/>
      <c r="F44" s="80"/>
      <c r="G44" s="16"/>
      <c r="H44" s="16"/>
      <c r="I44" s="16"/>
      <c r="J44" s="16"/>
      <c r="K44" s="16"/>
      <c r="L44" s="16"/>
      <c r="M44" s="16"/>
      <c r="N44" s="16">
        <v>6098</v>
      </c>
      <c r="O44" s="16">
        <v>6098</v>
      </c>
      <c r="P44" s="16">
        <v>15212</v>
      </c>
      <c r="Q44" s="16">
        <v>30761</v>
      </c>
      <c r="R44" s="16">
        <v>76373</v>
      </c>
      <c r="S44" s="16">
        <v>127341</v>
      </c>
      <c r="T44" s="126">
        <v>40386</v>
      </c>
      <c r="U44" s="59">
        <v>65646</v>
      </c>
      <c r="V44" s="59">
        <v>75879</v>
      </c>
      <c r="W44" s="189">
        <f>86006-80219</f>
        <v>5787</v>
      </c>
      <c r="X44" s="59">
        <f>55765-55165</f>
        <v>600</v>
      </c>
      <c r="Y44" s="59">
        <v>269615</v>
      </c>
      <c r="Z44" s="59">
        <v>488033</v>
      </c>
      <c r="AA44" s="59">
        <v>5269</v>
      </c>
      <c r="AB44" s="132">
        <v>46969</v>
      </c>
      <c r="AC44" s="132">
        <v>48910</v>
      </c>
      <c r="AD44" s="132">
        <v>235502</v>
      </c>
      <c r="AE44" s="132">
        <f>332331+2218</f>
        <v>334549</v>
      </c>
      <c r="AF44" s="59">
        <f>82483</f>
        <v>82483</v>
      </c>
      <c r="AG44" s="132">
        <f>686115+19</f>
        <v>686134</v>
      </c>
      <c r="AH44" s="132">
        <v>849189</v>
      </c>
      <c r="AI44" s="132">
        <f xml:space="preserve"> 1170053+10533</f>
        <v>1180586</v>
      </c>
      <c r="AJ44" s="220">
        <v>88925</v>
      </c>
      <c r="AK44"/>
      <c r="AL4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row>
    <row r="45" spans="2:75" ht="15" outlineLevel="1" x14ac:dyDescent="0.25">
      <c r="B45" s="24" t="s">
        <v>145</v>
      </c>
      <c r="C45" s="57" t="s">
        <v>18</v>
      </c>
      <c r="D45" s="80">
        <v>-127264</v>
      </c>
      <c r="E45" s="80">
        <v>-3123</v>
      </c>
      <c r="F45" s="80">
        <v>-7771</v>
      </c>
      <c r="G45" s="16">
        <v>-8525</v>
      </c>
      <c r="H45" s="16">
        <v>-1548</v>
      </c>
      <c r="I45" s="16">
        <v>-1731</v>
      </c>
      <c r="J45" s="16">
        <v>-2764</v>
      </c>
      <c r="K45" s="16">
        <v>-4457</v>
      </c>
      <c r="L45" s="16">
        <v>-1674</v>
      </c>
      <c r="M45" s="16">
        <v>-1997</v>
      </c>
      <c r="N45" s="16">
        <v>-8615</v>
      </c>
      <c r="O45" s="16">
        <v>-9395</v>
      </c>
      <c r="P45" s="16">
        <v>-6125</v>
      </c>
      <c r="Q45" s="16">
        <v>-6419</v>
      </c>
      <c r="R45" s="16">
        <v>-49209</v>
      </c>
      <c r="S45" s="16">
        <v>-51158</v>
      </c>
      <c r="T45" s="126">
        <v>-92</v>
      </c>
      <c r="U45" s="59">
        <v>-1352</v>
      </c>
      <c r="V45" s="59">
        <v>-6999</v>
      </c>
      <c r="W45" s="59">
        <v>-12486</v>
      </c>
      <c r="X45" s="59">
        <v>-3551</v>
      </c>
      <c r="Y45" s="59">
        <v>-22462</v>
      </c>
      <c r="Z45" s="59">
        <v>-50276</v>
      </c>
      <c r="AA45" s="59">
        <v>-38093</v>
      </c>
      <c r="AB45" s="132"/>
      <c r="AC45" s="132">
        <v>-374</v>
      </c>
      <c r="AD45" s="132">
        <v>-674</v>
      </c>
      <c r="AE45" s="132">
        <v>-6365</v>
      </c>
      <c r="AF45" s="132"/>
      <c r="AG45" s="132">
        <v>-6582</v>
      </c>
      <c r="AH45" s="132">
        <v>-9451</v>
      </c>
      <c r="AI45" s="132">
        <v>-12834</v>
      </c>
      <c r="AJ45"/>
      <c r="AK45"/>
      <c r="AL45"/>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row>
    <row r="46" spans="2:75" ht="15" outlineLevel="1" x14ac:dyDescent="0.25">
      <c r="B46" s="57" t="s">
        <v>363</v>
      </c>
      <c r="C46" s="57" t="s">
        <v>18</v>
      </c>
      <c r="D46" s="80">
        <v>1255</v>
      </c>
      <c r="E46" s="80">
        <v>4847</v>
      </c>
      <c r="F46" s="80">
        <v>9926</v>
      </c>
      <c r="G46" s="16">
        <v>8666</v>
      </c>
      <c r="H46" s="16">
        <v>1344</v>
      </c>
      <c r="I46" s="16">
        <v>1704</v>
      </c>
      <c r="J46" s="16">
        <v>2649</v>
      </c>
      <c r="K46" s="16">
        <v>3383</v>
      </c>
      <c r="L46" s="16">
        <v>1631</v>
      </c>
      <c r="M46" s="16">
        <v>1816</v>
      </c>
      <c r="N46" s="16">
        <v>8122</v>
      </c>
      <c r="O46" s="16">
        <v>8309</v>
      </c>
      <c r="P46" s="16">
        <v>4753</v>
      </c>
      <c r="Q46" s="16">
        <v>6053</v>
      </c>
      <c r="R46" s="16">
        <v>6350</v>
      </c>
      <c r="S46" s="16">
        <v>6350</v>
      </c>
      <c r="T46" s="126">
        <v>8</v>
      </c>
      <c r="U46" s="132">
        <v>44688</v>
      </c>
      <c r="V46" s="132">
        <v>44688</v>
      </c>
      <c r="W46" s="59">
        <v>44688</v>
      </c>
      <c r="X46" s="59">
        <v>3218</v>
      </c>
      <c r="Y46" s="59">
        <v>4277</v>
      </c>
      <c r="Z46" s="59">
        <v>50996</v>
      </c>
      <c r="AA46" s="59">
        <v>37458</v>
      </c>
      <c r="AB46" s="132"/>
      <c r="AC46" s="132">
        <v>8</v>
      </c>
      <c r="AD46" s="132">
        <v>38</v>
      </c>
      <c r="AE46" s="132">
        <v>1920</v>
      </c>
      <c r="AF46" s="132">
        <v>6</v>
      </c>
      <c r="AG46" s="132">
        <v>4410</v>
      </c>
      <c r="AH46" s="132">
        <v>6563</v>
      </c>
      <c r="AI46" s="132">
        <v>4821</v>
      </c>
      <c r="AJ46"/>
      <c r="AK46"/>
      <c r="AL46"/>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row>
    <row r="47" spans="2:75" ht="15" outlineLevel="1" x14ac:dyDescent="0.25">
      <c r="B47" s="57" t="s">
        <v>146</v>
      </c>
      <c r="C47" s="57" t="s">
        <v>18</v>
      </c>
      <c r="D47" s="80"/>
      <c r="E47" s="80"/>
      <c r="F47" s="80"/>
      <c r="G47" s="16"/>
      <c r="H47" s="16"/>
      <c r="I47" s="16"/>
      <c r="J47" s="16"/>
      <c r="K47" s="16"/>
      <c r="L47" s="16"/>
      <c r="M47" s="16"/>
      <c r="N47" s="16"/>
      <c r="O47" s="16"/>
      <c r="P47" s="16"/>
      <c r="Q47" s="16"/>
      <c r="R47" s="16">
        <v>703</v>
      </c>
      <c r="S47" s="16"/>
      <c r="T47" s="126"/>
      <c r="U47" s="59"/>
      <c r="V47" s="59"/>
      <c r="W47" s="59"/>
      <c r="X47" s="59"/>
      <c r="Y47" s="59"/>
      <c r="Z47" s="59"/>
      <c r="AA47" s="59"/>
      <c r="AB47" s="104"/>
      <c r="AC47" s="104"/>
      <c r="AD47" s="104"/>
      <c r="AE47" s="104"/>
      <c r="AF47" s="104"/>
      <c r="AG47" s="132"/>
      <c r="AH47" s="132"/>
      <c r="AI47" s="132"/>
      <c r="AJ47"/>
      <c r="AK47"/>
      <c r="AL47"/>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row>
    <row r="48" spans="2:75" ht="15" outlineLevel="1" x14ac:dyDescent="0.25">
      <c r="B48" s="57" t="s">
        <v>147</v>
      </c>
      <c r="C48" s="57" t="s">
        <v>18</v>
      </c>
      <c r="D48" s="80"/>
      <c r="E48" s="80"/>
      <c r="F48" s="80"/>
      <c r="G48" s="16"/>
      <c r="H48" s="16"/>
      <c r="I48" s="16">
        <v>698</v>
      </c>
      <c r="J48" s="16">
        <v>8877</v>
      </c>
      <c r="K48" s="16">
        <v>9577</v>
      </c>
      <c r="L48" s="16">
        <v>822</v>
      </c>
      <c r="M48" s="16">
        <v>1564</v>
      </c>
      <c r="N48" s="16">
        <v>2352</v>
      </c>
      <c r="O48" s="16">
        <v>3124</v>
      </c>
      <c r="P48" s="16">
        <v>779</v>
      </c>
      <c r="Q48" s="16">
        <v>1564</v>
      </c>
      <c r="R48" s="16">
        <v>2346</v>
      </c>
      <c r="S48" s="16">
        <v>3138</v>
      </c>
      <c r="T48" s="126">
        <v>841</v>
      </c>
      <c r="U48" s="132">
        <v>1695</v>
      </c>
      <c r="V48" s="132">
        <v>2608</v>
      </c>
      <c r="W48" s="59">
        <v>3514</v>
      </c>
      <c r="X48" s="59"/>
      <c r="Y48" s="59">
        <v>1751</v>
      </c>
      <c r="Z48" s="59">
        <v>2622</v>
      </c>
      <c r="AA48" s="59">
        <v>3456</v>
      </c>
      <c r="AB48" s="104"/>
      <c r="AC48" s="104">
        <v>1686</v>
      </c>
      <c r="AD48" s="104">
        <v>2565</v>
      </c>
      <c r="AE48" s="104"/>
      <c r="AF48" s="104"/>
      <c r="AG48" s="132"/>
      <c r="AH48" s="132"/>
      <c r="AI48" s="132"/>
      <c r="AJ48"/>
      <c r="AK48"/>
      <c r="AL48"/>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row>
    <row r="49" spans="2:75" ht="15" outlineLevel="1" x14ac:dyDescent="0.25">
      <c r="B49" s="198" t="s">
        <v>333</v>
      </c>
      <c r="C49" s="57" t="s">
        <v>18</v>
      </c>
      <c r="D49" s="80">
        <v>2921</v>
      </c>
      <c r="E49" s="80">
        <v>2921</v>
      </c>
      <c r="F49" s="80">
        <v>2921</v>
      </c>
      <c r="G49" s="16">
        <v>-8415</v>
      </c>
      <c r="H49" s="16">
        <v>5563</v>
      </c>
      <c r="I49" s="16">
        <v>5563</v>
      </c>
      <c r="J49" s="16">
        <v>5563</v>
      </c>
      <c r="K49" s="16">
        <v>5563</v>
      </c>
      <c r="L49" s="16"/>
      <c r="M49" s="16"/>
      <c r="N49" s="16"/>
      <c r="O49" s="16"/>
      <c r="P49" s="16"/>
      <c r="Q49" s="16"/>
      <c r="R49" s="16"/>
      <c r="S49" s="16"/>
      <c r="T49" s="126"/>
      <c r="W49" s="59"/>
      <c r="X49" s="59"/>
      <c r="Y49" s="59"/>
      <c r="Z49" s="59"/>
      <c r="AA49" s="59"/>
      <c r="AB49" s="132">
        <v>11885</v>
      </c>
      <c r="AC49" s="132">
        <v>11885</v>
      </c>
      <c r="AD49" s="132">
        <v>11885</v>
      </c>
      <c r="AE49" s="132"/>
      <c r="AF49" s="132"/>
      <c r="AG49" s="132"/>
      <c r="AH49" s="132"/>
      <c r="AI49" s="132"/>
      <c r="AJ49"/>
      <c r="AK49"/>
      <c r="AL49"/>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row>
    <row r="50" spans="2:75" ht="15" outlineLevel="1" x14ac:dyDescent="0.25">
      <c r="B50" s="57" t="s">
        <v>255</v>
      </c>
      <c r="C50" s="57" t="s">
        <v>18</v>
      </c>
      <c r="D50" s="80"/>
      <c r="E50" s="80"/>
      <c r="F50" s="80"/>
      <c r="G50" s="16">
        <v>-2852</v>
      </c>
      <c r="H50" s="16"/>
      <c r="I50" s="16"/>
      <c r="J50" s="16"/>
      <c r="K50" s="16">
        <v>-524</v>
      </c>
      <c r="L50" s="16"/>
      <c r="M50" s="16"/>
      <c r="N50" s="16"/>
      <c r="O50" s="16">
        <v>-2499</v>
      </c>
      <c r="P50" s="16"/>
      <c r="Q50" s="16"/>
      <c r="R50" s="16"/>
      <c r="S50" s="16"/>
      <c r="T50" s="126"/>
      <c r="W50" s="59"/>
      <c r="X50" s="59"/>
      <c r="Y50" s="59"/>
      <c r="Z50" s="59"/>
      <c r="AA50" s="59"/>
      <c r="AB50" s="132"/>
      <c r="AC50" s="132"/>
      <c r="AD50" s="132"/>
      <c r="AE50" s="132"/>
      <c r="AF50" s="132"/>
      <c r="AG50" s="132">
        <v>-10977</v>
      </c>
      <c r="AH50" s="132"/>
      <c r="AI50" s="132"/>
      <c r="AJ50"/>
      <c r="AK50"/>
      <c r="AL50"/>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row>
    <row r="51" spans="2:75" ht="15" outlineLevel="1" x14ac:dyDescent="0.25">
      <c r="B51" s="57" t="s">
        <v>348</v>
      </c>
      <c r="C51" s="57" t="s">
        <v>18</v>
      </c>
      <c r="D51" s="80"/>
      <c r="E51" s="80"/>
      <c r="F51" s="80"/>
      <c r="G51" s="16"/>
      <c r="H51" s="16"/>
      <c r="I51" s="16"/>
      <c r="J51" s="16"/>
      <c r="K51" s="16"/>
      <c r="L51" s="16">
        <v>43858</v>
      </c>
      <c r="M51" s="16">
        <v>43858</v>
      </c>
      <c r="N51" s="16">
        <v>43858</v>
      </c>
      <c r="O51" s="16">
        <v>43858</v>
      </c>
      <c r="P51" s="16"/>
      <c r="Q51" s="16"/>
      <c r="R51" s="24"/>
      <c r="S51" s="24"/>
      <c r="T51" s="24">
        <v>364</v>
      </c>
      <c r="U51" s="59">
        <v>364</v>
      </c>
      <c r="V51" s="59"/>
      <c r="W51" s="59"/>
      <c r="X51" s="59">
        <v>1013</v>
      </c>
      <c r="Y51" s="59">
        <v>1013</v>
      </c>
      <c r="Z51" s="59"/>
      <c r="AA51" s="59"/>
      <c r="AB51" s="132"/>
      <c r="AC51" s="132"/>
      <c r="AD51" s="132"/>
      <c r="AE51" s="132"/>
      <c r="AF51" s="132">
        <v>-10977</v>
      </c>
      <c r="AG51" s="132"/>
      <c r="AH51" s="132"/>
      <c r="AI51" s="132"/>
      <c r="AJ51"/>
      <c r="AK51"/>
      <c r="AL51"/>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row>
    <row r="52" spans="2:75" ht="15" outlineLevel="1" x14ac:dyDescent="0.25">
      <c r="B52" s="57" t="s">
        <v>148</v>
      </c>
      <c r="C52" s="57" t="s">
        <v>18</v>
      </c>
      <c r="D52" s="80"/>
      <c r="E52" s="80">
        <v>-685</v>
      </c>
      <c r="F52" s="80">
        <v>17168</v>
      </c>
      <c r="G52" s="16"/>
      <c r="H52" s="16"/>
      <c r="I52" s="16">
        <v>3745</v>
      </c>
      <c r="J52" s="16">
        <v>3328</v>
      </c>
      <c r="K52" s="16"/>
      <c r="L52" s="16"/>
      <c r="M52" s="16"/>
      <c r="N52" s="16"/>
      <c r="O52" s="16"/>
      <c r="P52" s="16"/>
      <c r="Q52" s="16"/>
      <c r="R52" s="24"/>
      <c r="S52" s="24"/>
      <c r="T52" s="24"/>
      <c r="U52" s="59"/>
      <c r="V52" s="59"/>
      <c r="W52" s="59"/>
      <c r="X52" s="59"/>
      <c r="Y52" s="59"/>
      <c r="Z52" s="59"/>
      <c r="AA52" s="59"/>
      <c r="AB52" s="104"/>
      <c r="AC52" s="104"/>
      <c r="AD52" s="104"/>
      <c r="AE52" s="104"/>
      <c r="AF52" s="104"/>
      <c r="AG52" s="132"/>
      <c r="AH52" s="132"/>
      <c r="AI52" s="132"/>
      <c r="AJ52"/>
      <c r="AK52"/>
      <c r="AL52"/>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row>
    <row r="53" spans="2:75" ht="15" outlineLevel="1" x14ac:dyDescent="0.25">
      <c r="B53" s="57" t="s">
        <v>149</v>
      </c>
      <c r="C53" s="57" t="s">
        <v>18</v>
      </c>
      <c r="D53" s="80">
        <v>4495</v>
      </c>
      <c r="E53" s="80">
        <v>7135</v>
      </c>
      <c r="F53" s="80">
        <v>8873</v>
      </c>
      <c r="G53" s="16">
        <v>12773</v>
      </c>
      <c r="H53" s="16">
        <v>5700</v>
      </c>
      <c r="I53" s="16">
        <v>9048</v>
      </c>
      <c r="J53" s="16">
        <v>10248</v>
      </c>
      <c r="K53" s="16">
        <v>13266</v>
      </c>
      <c r="L53" s="16">
        <v>3351</v>
      </c>
      <c r="M53" s="16">
        <v>18336</v>
      </c>
      <c r="N53" s="16">
        <v>25676</v>
      </c>
      <c r="O53" s="16">
        <v>47886</v>
      </c>
      <c r="P53" s="16"/>
      <c r="Q53" s="16">
        <v>4649</v>
      </c>
      <c r="R53" s="16">
        <v>14617</v>
      </c>
      <c r="S53" s="16">
        <v>17108</v>
      </c>
      <c r="T53" s="126"/>
      <c r="U53" s="59">
        <v>36888</v>
      </c>
      <c r="V53" s="59">
        <v>40483</v>
      </c>
      <c r="W53" s="59">
        <v>45346</v>
      </c>
      <c r="X53" s="59"/>
      <c r="Y53" s="59">
        <v>41924</v>
      </c>
      <c r="Z53" s="59">
        <v>54881</v>
      </c>
      <c r="AA53" s="59">
        <v>87794</v>
      </c>
      <c r="AB53" s="104"/>
      <c r="AC53" s="104">
        <v>47993</v>
      </c>
      <c r="AD53" s="104">
        <v>60413</v>
      </c>
      <c r="AE53" s="104">
        <v>91110</v>
      </c>
      <c r="AF53" s="104"/>
      <c r="AG53" s="132">
        <v>20530</v>
      </c>
      <c r="AH53" s="132">
        <v>103256</v>
      </c>
      <c r="AI53" s="132">
        <v>128735</v>
      </c>
      <c r="AJ53" s="220">
        <v>4753</v>
      </c>
      <c r="AK53"/>
      <c r="AL53"/>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row>
    <row r="54" spans="2:75" ht="15" outlineLevel="1" x14ac:dyDescent="0.25">
      <c r="B54" s="57" t="s">
        <v>150</v>
      </c>
      <c r="C54" s="57" t="s">
        <v>18</v>
      </c>
      <c r="D54" s="80"/>
      <c r="E54" s="80"/>
      <c r="F54" s="80"/>
      <c r="G54" s="16"/>
      <c r="H54" s="16">
        <v>-1062</v>
      </c>
      <c r="I54" s="16">
        <v>-2267</v>
      </c>
      <c r="J54" s="16">
        <v>-6716</v>
      </c>
      <c r="K54" s="16">
        <v>-6716</v>
      </c>
      <c r="M54" s="16"/>
      <c r="N54" s="16"/>
      <c r="O54" s="16"/>
      <c r="P54" s="16"/>
      <c r="Q54" s="16"/>
      <c r="R54" s="16">
        <v>-190</v>
      </c>
      <c r="S54" s="16">
        <v>-190</v>
      </c>
      <c r="T54" s="126"/>
      <c r="U54" s="59"/>
      <c r="V54" s="59"/>
      <c r="W54" s="59"/>
      <c r="X54" s="59"/>
      <c r="Y54" s="59"/>
      <c r="Z54" s="59"/>
      <c r="AA54" s="59"/>
      <c r="AB54" s="132"/>
      <c r="AC54" s="132"/>
      <c r="AD54" s="132"/>
      <c r="AE54" s="132"/>
      <c r="AF54" s="132"/>
      <c r="AG54" s="132"/>
      <c r="AH54" s="132"/>
      <c r="AI54" s="132"/>
      <c r="AJ54"/>
      <c r="AK54"/>
      <c r="AL5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row>
    <row r="55" spans="2:75" ht="15" outlineLevel="1" x14ac:dyDescent="0.25">
      <c r="B55" s="24" t="s">
        <v>151</v>
      </c>
      <c r="C55" s="24" t="s">
        <v>18</v>
      </c>
      <c r="D55" s="16">
        <v>-1301</v>
      </c>
      <c r="E55" s="16">
        <v>-1301</v>
      </c>
      <c r="F55" s="16">
        <v>-1598</v>
      </c>
      <c r="G55" s="16"/>
      <c r="H55" s="16"/>
      <c r="I55" s="16"/>
      <c r="J55" s="16">
        <v>-64</v>
      </c>
      <c r="K55" s="16"/>
      <c r="L55" s="16">
        <v>-1417</v>
      </c>
      <c r="M55" s="16">
        <v>-1976</v>
      </c>
      <c r="N55" s="16">
        <v>-2090</v>
      </c>
      <c r="O55" s="16"/>
      <c r="P55" s="16"/>
      <c r="Q55" s="16"/>
      <c r="R55" s="16"/>
      <c r="S55" s="16"/>
      <c r="T55" s="126"/>
      <c r="U55" s="59"/>
      <c r="V55" s="59"/>
      <c r="W55" s="59"/>
      <c r="X55" s="59"/>
      <c r="Y55" s="59"/>
      <c r="Z55" s="59"/>
      <c r="AA55" s="59"/>
      <c r="AB55" s="132"/>
      <c r="AC55" s="132"/>
      <c r="AD55" s="132"/>
      <c r="AE55" s="132"/>
      <c r="AF55" s="132"/>
      <c r="AG55" s="132"/>
      <c r="AH55" s="132"/>
      <c r="AI55" s="132"/>
      <c r="AJ55"/>
      <c r="AK55"/>
      <c r="AL55"/>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row>
    <row r="56" spans="2:75" ht="15" outlineLevel="1" x14ac:dyDescent="0.25">
      <c r="B56" s="24" t="s">
        <v>152</v>
      </c>
      <c r="C56" s="24" t="s">
        <v>18</v>
      </c>
      <c r="D56" s="16">
        <v>5</v>
      </c>
      <c r="E56" s="16"/>
      <c r="F56" s="16"/>
      <c r="G56" s="16"/>
      <c r="H56" s="16"/>
      <c r="I56" s="16"/>
      <c r="J56" s="16"/>
      <c r="K56" s="16"/>
      <c r="L56" s="16"/>
      <c r="M56" s="16"/>
      <c r="N56" s="16"/>
      <c r="O56" s="16"/>
      <c r="P56" s="16"/>
      <c r="Q56" s="16"/>
      <c r="R56" s="16"/>
      <c r="S56" s="16"/>
      <c r="T56" s="126"/>
      <c r="U56" s="59"/>
      <c r="V56" s="59"/>
      <c r="W56" s="59"/>
      <c r="X56" s="59"/>
      <c r="Y56" s="59"/>
      <c r="Z56" s="59"/>
      <c r="AA56" s="59"/>
      <c r="AB56" s="132"/>
      <c r="AC56" s="132"/>
      <c r="AD56" s="132"/>
      <c r="AE56" s="132"/>
      <c r="AF56" s="132"/>
      <c r="AG56" s="132"/>
      <c r="AH56" s="132"/>
      <c r="AI56" s="132"/>
      <c r="AJ56"/>
      <c r="AK56"/>
      <c r="AL56"/>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row>
    <row r="57" spans="2:75" ht="15" outlineLevel="1" x14ac:dyDescent="0.25">
      <c r="B57" s="24" t="s">
        <v>245</v>
      </c>
      <c r="C57" s="24" t="s">
        <v>18</v>
      </c>
      <c r="D57" s="16"/>
      <c r="E57" s="16"/>
      <c r="F57" s="16"/>
      <c r="G57" s="16"/>
      <c r="H57" s="16"/>
      <c r="I57" s="16"/>
      <c r="J57" s="16"/>
      <c r="K57" s="16"/>
      <c r="L57" s="16"/>
      <c r="M57" s="16"/>
      <c r="N57" s="16"/>
      <c r="O57" s="16"/>
      <c r="P57" s="16"/>
      <c r="Q57" s="16"/>
      <c r="R57" s="16"/>
      <c r="S57" s="16"/>
      <c r="T57" s="126">
        <v>-12368</v>
      </c>
      <c r="U57" s="59">
        <v>-12368</v>
      </c>
      <c r="V57" s="59">
        <v>-12368</v>
      </c>
      <c r="W57" s="59"/>
      <c r="X57" s="59"/>
      <c r="Y57" s="59"/>
      <c r="Z57" s="59"/>
      <c r="AA57" s="59"/>
      <c r="AB57" s="104"/>
      <c r="AC57" s="104"/>
      <c r="AD57" s="104"/>
      <c r="AE57" s="104"/>
      <c r="AF57" s="104"/>
      <c r="AG57" s="132"/>
      <c r="AH57" s="132"/>
      <c r="AI57" s="132"/>
      <c r="AJ57"/>
      <c r="AK57"/>
      <c r="AL57"/>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row>
    <row r="58" spans="2:75" ht="15" outlineLevel="1" x14ac:dyDescent="0.25">
      <c r="B58" s="24" t="s">
        <v>312</v>
      </c>
      <c r="C58" s="24" t="s">
        <v>18</v>
      </c>
      <c r="D58" s="16"/>
      <c r="E58" s="16"/>
      <c r="F58" s="16"/>
      <c r="G58" s="16"/>
      <c r="H58" s="16"/>
      <c r="I58" s="16"/>
      <c r="J58" s="16"/>
      <c r="K58" s="16"/>
      <c r="L58" s="16"/>
      <c r="M58" s="16"/>
      <c r="N58" s="16"/>
      <c r="O58" s="16"/>
      <c r="P58" s="16"/>
      <c r="Q58" s="16"/>
      <c r="R58" s="16"/>
      <c r="S58" s="16"/>
      <c r="T58" s="126"/>
      <c r="U58" s="59"/>
      <c r="V58" s="59"/>
      <c r="W58" s="59">
        <v>-12368</v>
      </c>
      <c r="X58" s="59"/>
      <c r="Y58" s="59"/>
      <c r="Z58" s="59"/>
      <c r="AA58" s="59"/>
      <c r="AB58" s="104"/>
      <c r="AC58" s="104"/>
      <c r="AD58" s="104"/>
      <c r="AE58" s="104"/>
      <c r="AF58" s="104"/>
      <c r="AG58" s="132"/>
      <c r="AH58" s="132"/>
      <c r="AI58" s="132"/>
      <c r="AJ58"/>
      <c r="AK58"/>
      <c r="AL58"/>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row>
    <row r="59" spans="2:75" ht="15" outlineLevel="1" x14ac:dyDescent="0.25">
      <c r="B59" s="24" t="s">
        <v>364</v>
      </c>
      <c r="C59" s="24" t="s">
        <v>18</v>
      </c>
      <c r="D59" s="16"/>
      <c r="E59" s="16"/>
      <c r="F59" s="16"/>
      <c r="G59" s="16"/>
      <c r="H59" s="16"/>
      <c r="I59" s="16"/>
      <c r="J59" s="16"/>
      <c r="K59" s="16"/>
      <c r="L59" s="16"/>
      <c r="M59" s="16"/>
      <c r="N59" s="16"/>
      <c r="O59" s="16"/>
      <c r="P59" s="16"/>
      <c r="Q59" s="16"/>
      <c r="R59" s="16"/>
      <c r="S59" s="16"/>
      <c r="T59" s="126"/>
      <c r="U59" s="59"/>
      <c r="V59" s="59"/>
      <c r="W59" s="59"/>
      <c r="X59" s="59"/>
      <c r="Y59" s="59"/>
      <c r="Z59" s="59"/>
      <c r="AA59" s="59"/>
      <c r="AB59" s="104"/>
      <c r="AC59" s="104"/>
      <c r="AD59" s="104">
        <v>-45</v>
      </c>
      <c r="AE59" s="188">
        <v>-45</v>
      </c>
      <c r="AF59" s="104"/>
      <c r="AG59" s="132"/>
      <c r="AH59" s="132">
        <v>-10977</v>
      </c>
      <c r="AI59" s="132">
        <v>-10977</v>
      </c>
      <c r="AJ59"/>
      <c r="AK59"/>
      <c r="AL59"/>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row>
    <row r="60" spans="2:75" ht="15" outlineLevel="1" x14ac:dyDescent="0.25">
      <c r="B60" s="182" t="s">
        <v>328</v>
      </c>
      <c r="C60" s="24" t="s">
        <v>18</v>
      </c>
      <c r="D60" s="16">
        <v>-21</v>
      </c>
      <c r="E60" s="16">
        <v>-385</v>
      </c>
      <c r="F60" s="16">
        <v>102</v>
      </c>
      <c r="G60" s="16">
        <v>471</v>
      </c>
      <c r="H60" s="16">
        <v>-743</v>
      </c>
      <c r="I60" s="16">
        <v>-1428</v>
      </c>
      <c r="J60" s="16">
        <v>-521</v>
      </c>
      <c r="K60" s="16">
        <v>-2162</v>
      </c>
      <c r="L60" s="16">
        <v>-397</v>
      </c>
      <c r="M60" s="16">
        <v>-76</v>
      </c>
      <c r="N60" s="16">
        <v>-4673</v>
      </c>
      <c r="O60" s="16">
        <v>-2171</v>
      </c>
      <c r="P60" s="16">
        <v>-163</v>
      </c>
      <c r="Q60" s="16">
        <v>-745</v>
      </c>
      <c r="R60" s="16">
        <v>-1169</v>
      </c>
      <c r="S60" s="16">
        <v>-1648</v>
      </c>
      <c r="T60" s="126">
        <v>-734</v>
      </c>
      <c r="U60" s="132">
        <v>-2879</v>
      </c>
      <c r="V60" s="132">
        <v>-2475</v>
      </c>
      <c r="W60" s="59">
        <v>-3304</v>
      </c>
      <c r="X60" s="59">
        <v>711</v>
      </c>
      <c r="Y60" s="59">
        <v>325</v>
      </c>
      <c r="Z60" s="59">
        <v>1339</v>
      </c>
      <c r="AA60" s="59">
        <v>1345</v>
      </c>
      <c r="AB60" s="132">
        <v>279</v>
      </c>
      <c r="AC60" s="132">
        <v>-437</v>
      </c>
      <c r="AD60" s="132">
        <v>-170</v>
      </c>
      <c r="AE60" s="132">
        <v>1913</v>
      </c>
      <c r="AF60" s="132">
        <v>172</v>
      </c>
      <c r="AG60" s="132">
        <v>322</v>
      </c>
      <c r="AH60" s="132">
        <v>706</v>
      </c>
      <c r="AI60" s="132">
        <v>688</v>
      </c>
      <c r="AJ60" s="132">
        <v>-2467</v>
      </c>
      <c r="AK60"/>
      <c r="AL60"/>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row>
    <row r="61" spans="2:75" ht="15" outlineLevel="1" x14ac:dyDescent="0.25">
      <c r="B61" s="25" t="s">
        <v>153</v>
      </c>
      <c r="C61" s="25" t="s">
        <v>18</v>
      </c>
      <c r="D61" s="62">
        <f t="shared" ref="D61:X61" si="2">SUM(D34:D60)</f>
        <v>-133424</v>
      </c>
      <c r="E61" s="62">
        <f t="shared" si="2"/>
        <v>-13158</v>
      </c>
      <c r="F61" s="62">
        <f t="shared" si="2"/>
        <v>-3966</v>
      </c>
      <c r="G61" s="62">
        <f t="shared" si="2"/>
        <v>-40279</v>
      </c>
      <c r="H61" s="62">
        <f t="shared" si="2"/>
        <v>-10349</v>
      </c>
      <c r="I61" s="62">
        <f t="shared" si="2"/>
        <v>-16039</v>
      </c>
      <c r="J61" s="62">
        <f t="shared" si="2"/>
        <v>-12283</v>
      </c>
      <c r="K61" s="62">
        <f t="shared" si="2"/>
        <v>-28271</v>
      </c>
      <c r="L61" s="62">
        <f t="shared" si="2"/>
        <v>36692</v>
      </c>
      <c r="M61" s="62">
        <f t="shared" si="2"/>
        <v>43878</v>
      </c>
      <c r="N61" s="62">
        <f t="shared" si="2"/>
        <v>42835</v>
      </c>
      <c r="O61" s="62">
        <f t="shared" si="2"/>
        <v>48759</v>
      </c>
      <c r="P61" s="62">
        <f t="shared" si="2"/>
        <v>-10654</v>
      </c>
      <c r="Q61" s="62">
        <f t="shared" si="2"/>
        <v>-13850</v>
      </c>
      <c r="R61" s="62">
        <f t="shared" si="2"/>
        <v>-70653</v>
      </c>
      <c r="S61" s="62">
        <f t="shared" si="2"/>
        <v>-71241</v>
      </c>
      <c r="T61" s="62">
        <f t="shared" si="2"/>
        <v>-34400</v>
      </c>
      <c r="U61" s="62">
        <f t="shared" si="2"/>
        <v>28936</v>
      </c>
      <c r="V61" s="62">
        <f t="shared" si="2"/>
        <v>8733</v>
      </c>
      <c r="W61" s="62">
        <f t="shared" si="2"/>
        <v>-10893</v>
      </c>
      <c r="X61" s="62">
        <f t="shared" si="2"/>
        <v>-83852</v>
      </c>
      <c r="Y61" s="62">
        <f t="shared" ref="Y61:AI61" si="3">SUM(Y34:Y60)</f>
        <v>-220680</v>
      </c>
      <c r="Z61" s="62">
        <f t="shared" si="3"/>
        <v>-81761</v>
      </c>
      <c r="AA61" s="62">
        <f t="shared" si="3"/>
        <v>-61200</v>
      </c>
      <c r="AB61" s="62">
        <f t="shared" si="3"/>
        <v>-85110</v>
      </c>
      <c r="AC61" s="62">
        <f t="shared" si="3"/>
        <v>15178</v>
      </c>
      <c r="AD61" s="62">
        <f t="shared" si="3"/>
        <v>-55425</v>
      </c>
      <c r="AE61" s="62">
        <f t="shared" si="3"/>
        <v>-42415</v>
      </c>
      <c r="AF61" s="62">
        <f t="shared" si="3"/>
        <v>-287888</v>
      </c>
      <c r="AG61" s="62">
        <f t="shared" si="3"/>
        <v>-189895</v>
      </c>
      <c r="AH61" s="62">
        <f t="shared" si="3"/>
        <v>-187734</v>
      </c>
      <c r="AI61" s="62">
        <f t="shared" si="3"/>
        <v>-258557</v>
      </c>
      <c r="AJ61" s="62">
        <f>SUM(AJ34:AJ60)</f>
        <v>-139130</v>
      </c>
      <c r="AK61"/>
      <c r="AL61"/>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row>
    <row r="62" spans="2:75" ht="15" x14ac:dyDescent="0.25">
      <c r="B62" s="26"/>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132"/>
      <c r="AC62" s="132"/>
      <c r="AD62" s="132"/>
      <c r="AE62" s="132"/>
      <c r="AF62" s="132"/>
      <c r="AG62" s="132"/>
      <c r="AH62" s="132"/>
      <c r="AI62" s="132"/>
      <c r="AJ62"/>
      <c r="AK62"/>
      <c r="AL62"/>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row>
    <row r="63" spans="2:75" ht="15" x14ac:dyDescent="0.25">
      <c r="B63" s="30" t="s">
        <v>154</v>
      </c>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104"/>
      <c r="AC63" s="24"/>
      <c r="AD63" s="24"/>
      <c r="AE63" s="24"/>
      <c r="AF63" s="24"/>
      <c r="AG63" s="24"/>
      <c r="AH63" s="24"/>
      <c r="AI63" s="24"/>
      <c r="AJ63"/>
      <c r="AK63"/>
      <c r="AL63"/>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row>
    <row r="64" spans="2:75" ht="15" outlineLevel="1" x14ac:dyDescent="0.25">
      <c r="B64" s="2" t="s">
        <v>165</v>
      </c>
      <c r="C64" s="24" t="s">
        <v>18</v>
      </c>
      <c r="D64" s="16">
        <v>21401</v>
      </c>
      <c r="E64" s="16">
        <v>32142</v>
      </c>
      <c r="F64" s="16">
        <v>33029</v>
      </c>
      <c r="G64" s="16">
        <v>100547</v>
      </c>
      <c r="H64" s="16">
        <v>4072</v>
      </c>
      <c r="I64" s="16">
        <v>8532</v>
      </c>
      <c r="J64" s="16">
        <v>257836</v>
      </c>
      <c r="K64" s="16">
        <v>203250</v>
      </c>
      <c r="L64" s="16">
        <v>16616</v>
      </c>
      <c r="M64" s="16">
        <v>87306</v>
      </c>
      <c r="N64" s="16">
        <v>112359</v>
      </c>
      <c r="O64" s="16">
        <v>119093</v>
      </c>
      <c r="P64" s="16"/>
      <c r="Q64" s="16"/>
      <c r="R64" s="16">
        <v>29003</v>
      </c>
      <c r="S64" s="16">
        <v>65525</v>
      </c>
      <c r="T64" s="126"/>
      <c r="U64" s="24"/>
      <c r="V64" s="24" t="s">
        <v>100</v>
      </c>
      <c r="W64" s="24">
        <v>70905</v>
      </c>
      <c r="X64" s="16"/>
      <c r="Y64" s="16">
        <v>22358</v>
      </c>
      <c r="Z64" s="16">
        <v>22358</v>
      </c>
      <c r="AA64" s="16">
        <v>22358</v>
      </c>
      <c r="AB64" s="104">
        <v>6798</v>
      </c>
      <c r="AC64" s="104">
        <v>12322</v>
      </c>
      <c r="AD64" s="104">
        <v>57411</v>
      </c>
      <c r="AE64" s="104">
        <v>159655</v>
      </c>
      <c r="AF64" s="104">
        <v>12134</v>
      </c>
      <c r="AG64" s="104">
        <v>43192</v>
      </c>
      <c r="AH64" s="104">
        <v>51258</v>
      </c>
      <c r="AI64" s="104">
        <v>89513</v>
      </c>
      <c r="AJ64" s="220">
        <v>15681</v>
      </c>
      <c r="AK64"/>
      <c r="AL6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row>
    <row r="65" spans="2:75" ht="15" outlineLevel="1" x14ac:dyDescent="0.25">
      <c r="B65" s="2" t="s">
        <v>166</v>
      </c>
      <c r="C65" s="24" t="s">
        <v>18</v>
      </c>
      <c r="D65" s="16">
        <v>-44846</v>
      </c>
      <c r="E65" s="16">
        <v>-67931</v>
      </c>
      <c r="F65" s="16">
        <v>-127274</v>
      </c>
      <c r="G65" s="16">
        <v>-147734</v>
      </c>
      <c r="H65" s="16">
        <v>-64632</v>
      </c>
      <c r="I65" s="16">
        <v>-80680</v>
      </c>
      <c r="J65" s="16">
        <v>-269978</v>
      </c>
      <c r="K65" s="16">
        <v>-255872</v>
      </c>
      <c r="L65" s="16">
        <v>-64050</v>
      </c>
      <c r="M65" s="16">
        <v>-90504</v>
      </c>
      <c r="N65" s="16">
        <v>-191991</v>
      </c>
      <c r="O65" s="16">
        <v>-191991</v>
      </c>
      <c r="P65" s="16">
        <v>-3500</v>
      </c>
      <c r="Q65" s="16">
        <v>-10287</v>
      </c>
      <c r="R65" s="16">
        <v>-39144</v>
      </c>
      <c r="S65" s="16">
        <v>-76108</v>
      </c>
      <c r="T65" s="126"/>
      <c r="U65" s="24"/>
      <c r="V65" s="16">
        <v>-3500</v>
      </c>
      <c r="W65" s="16">
        <v>-26555</v>
      </c>
      <c r="X65" s="16">
        <v>-50527</v>
      </c>
      <c r="Y65" s="16">
        <v>-50527</v>
      </c>
      <c r="Z65" s="16">
        <v>-73525</v>
      </c>
      <c r="AA65" s="16">
        <v>-73525</v>
      </c>
      <c r="AB65" s="132">
        <v>-3500</v>
      </c>
      <c r="AC65" s="132">
        <v>-3615</v>
      </c>
      <c r="AD65" s="132">
        <v>-51551</v>
      </c>
      <c r="AE65" s="132">
        <v>-139166</v>
      </c>
      <c r="AF65" s="132">
        <v>-6066</v>
      </c>
      <c r="AG65" s="132">
        <v>-6181</v>
      </c>
      <c r="AH65" s="132">
        <v>-6296</v>
      </c>
      <c r="AI65" s="132">
        <v>-29111</v>
      </c>
      <c r="AJ65" s="132">
        <v>-115</v>
      </c>
      <c r="AK65"/>
      <c r="AL65"/>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row>
    <row r="66" spans="2:75" ht="15" outlineLevel="1" x14ac:dyDescent="0.25">
      <c r="B66" s="24" t="s">
        <v>155</v>
      </c>
      <c r="C66" s="24" t="s">
        <v>18</v>
      </c>
      <c r="D66" s="16"/>
      <c r="E66" s="16"/>
      <c r="F66" s="16"/>
      <c r="G66" s="16">
        <v>70000</v>
      </c>
      <c r="H66" s="16"/>
      <c r="I66" s="16"/>
      <c r="J66" s="16"/>
      <c r="K66" s="16">
        <v>70000</v>
      </c>
      <c r="L66" s="16"/>
      <c r="M66" s="16"/>
      <c r="N66" s="16"/>
      <c r="O66" s="16"/>
      <c r="P66" s="16"/>
      <c r="Q66" s="16"/>
      <c r="R66" s="16"/>
      <c r="S66" s="16"/>
      <c r="T66" s="126"/>
      <c r="U66" s="24"/>
      <c r="V66" s="24"/>
      <c r="W66" s="24"/>
      <c r="X66" s="16"/>
      <c r="Y66" s="16"/>
      <c r="Z66" s="16"/>
      <c r="AA66" s="16"/>
      <c r="AB66" s="132"/>
      <c r="AC66" s="132"/>
      <c r="AD66" s="132"/>
      <c r="AE66" s="132"/>
      <c r="AF66" s="132"/>
      <c r="AG66" s="132"/>
      <c r="AH66" s="132"/>
      <c r="AI66" s="132"/>
      <c r="AJ66"/>
      <c r="AK66"/>
      <c r="AL66"/>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row>
    <row r="67" spans="2:75" ht="15" outlineLevel="1" x14ac:dyDescent="0.25">
      <c r="B67" s="182" t="s">
        <v>371</v>
      </c>
      <c r="C67" s="182" t="s">
        <v>18</v>
      </c>
      <c r="D67" s="126"/>
      <c r="E67" s="126"/>
      <c r="F67" s="126"/>
      <c r="G67" s="126"/>
      <c r="H67" s="126"/>
      <c r="I67" s="126"/>
      <c r="J67" s="126"/>
      <c r="K67" s="126"/>
      <c r="L67" s="126"/>
      <c r="M67" s="126"/>
      <c r="N67" s="126"/>
      <c r="O67" s="126"/>
      <c r="P67" s="126"/>
      <c r="Q67" s="126"/>
      <c r="R67" s="126"/>
      <c r="S67" s="126"/>
      <c r="T67" s="126"/>
      <c r="U67" s="182"/>
      <c r="V67" s="182"/>
      <c r="W67" s="182"/>
      <c r="X67" s="126"/>
      <c r="Y67" s="126"/>
      <c r="Z67" s="126"/>
      <c r="AA67" s="126"/>
      <c r="AB67" s="188"/>
      <c r="AC67" s="188"/>
      <c r="AD67" s="188"/>
      <c r="AE67" s="188"/>
      <c r="AF67" s="188"/>
      <c r="AG67" s="188"/>
      <c r="AH67" s="188"/>
      <c r="AI67" s="188">
        <v>13034</v>
      </c>
      <c r="AK67"/>
      <c r="AL67"/>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row>
    <row r="68" spans="2:75" ht="15" outlineLevel="1" x14ac:dyDescent="0.25">
      <c r="B68" s="24" t="s">
        <v>156</v>
      </c>
      <c r="C68" s="24" t="s">
        <v>18</v>
      </c>
      <c r="D68" s="16"/>
      <c r="E68" s="16"/>
      <c r="F68" s="16"/>
      <c r="G68" s="16"/>
      <c r="H68" s="16"/>
      <c r="I68" s="16"/>
      <c r="J68" s="16"/>
      <c r="K68" s="16">
        <v>-73500</v>
      </c>
      <c r="L68" s="16"/>
      <c r="M68" s="16"/>
      <c r="N68" s="16"/>
      <c r="O68" s="16"/>
      <c r="P68" s="16"/>
      <c r="Q68" s="16"/>
      <c r="R68" s="16"/>
      <c r="S68" s="16"/>
      <c r="T68" s="126"/>
      <c r="U68" s="59"/>
      <c r="V68" s="59"/>
      <c r="W68" s="59"/>
      <c r="X68" s="16"/>
      <c r="Y68" s="16"/>
      <c r="Z68" s="16"/>
      <c r="AA68" s="16"/>
      <c r="AB68" s="132"/>
      <c r="AC68" s="132"/>
      <c r="AD68" s="132"/>
      <c r="AE68" s="132"/>
      <c r="AF68" s="132"/>
      <c r="AG68" s="132"/>
      <c r="AH68" s="132"/>
      <c r="AI68" s="132"/>
      <c r="AJ68"/>
      <c r="AK68"/>
      <c r="AL68"/>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row>
    <row r="69" spans="2:75" ht="15" outlineLevel="1" x14ac:dyDescent="0.25">
      <c r="B69" s="24" t="s">
        <v>370</v>
      </c>
      <c r="C69" s="24" t="s">
        <v>18</v>
      </c>
      <c r="D69" s="16"/>
      <c r="E69" s="16"/>
      <c r="F69" s="16"/>
      <c r="G69" s="16"/>
      <c r="H69" s="16"/>
      <c r="I69" s="16"/>
      <c r="J69" s="16"/>
      <c r="K69" s="16"/>
      <c r="L69" s="16"/>
      <c r="M69" s="16"/>
      <c r="N69" s="16"/>
      <c r="O69" s="16"/>
      <c r="P69" s="16"/>
      <c r="Q69" s="16"/>
      <c r="R69" s="16"/>
      <c r="S69" s="16"/>
      <c r="T69" s="126"/>
      <c r="U69" s="59"/>
      <c r="V69" s="59"/>
      <c r="W69" s="59"/>
      <c r="X69" s="16"/>
      <c r="Y69" s="16"/>
      <c r="Z69" s="16"/>
      <c r="AA69" s="16"/>
      <c r="AB69" s="132"/>
      <c r="AC69" s="132"/>
      <c r="AD69" s="132"/>
      <c r="AE69" s="132"/>
      <c r="AF69" s="132"/>
      <c r="AG69" s="132"/>
      <c r="AH69" s="132"/>
      <c r="AI69" s="132"/>
      <c r="AJ69" s="132">
        <v>-12434</v>
      </c>
      <c r="AK69"/>
      <c r="AL69"/>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row>
    <row r="70" spans="2:75" ht="15" outlineLevel="1" x14ac:dyDescent="0.25">
      <c r="B70" s="24" t="s">
        <v>157</v>
      </c>
      <c r="C70" s="24" t="s">
        <v>18</v>
      </c>
      <c r="D70" s="16">
        <v>-46</v>
      </c>
      <c r="E70" s="16">
        <v>-96</v>
      </c>
      <c r="F70" s="16">
        <v>-123</v>
      </c>
      <c r="G70" s="16">
        <v>-151</v>
      </c>
      <c r="H70" s="16">
        <v>-66</v>
      </c>
      <c r="I70" s="16">
        <v>-199</v>
      </c>
      <c r="J70" s="16"/>
      <c r="K70" s="16">
        <v>-463</v>
      </c>
      <c r="L70" s="16">
        <v>-147</v>
      </c>
      <c r="M70" s="16">
        <v>-244</v>
      </c>
      <c r="N70" s="16">
        <v>-350</v>
      </c>
      <c r="O70" s="16">
        <v>-465</v>
      </c>
      <c r="P70" s="16">
        <v>-93</v>
      </c>
      <c r="Q70" s="16">
        <v>-230</v>
      </c>
      <c r="R70" s="16">
        <v>-367</v>
      </c>
      <c r="S70" s="16">
        <v>-452</v>
      </c>
      <c r="T70" s="126">
        <v>-126</v>
      </c>
      <c r="U70" s="59">
        <v>-130</v>
      </c>
      <c r="V70" s="59">
        <v>-146</v>
      </c>
      <c r="W70" s="59"/>
      <c r="X70" s="16">
        <v>-21</v>
      </c>
      <c r="Y70" s="16">
        <v>-25</v>
      </c>
      <c r="Z70" s="16">
        <v>-32</v>
      </c>
      <c r="AA70" s="16"/>
      <c r="AB70" s="104">
        <v>-30</v>
      </c>
      <c r="AC70" s="104">
        <v>-228</v>
      </c>
      <c r="AD70" s="104">
        <v>-834</v>
      </c>
      <c r="AE70" s="104"/>
      <c r="AF70" s="104">
        <v>-33</v>
      </c>
      <c r="AG70" s="104">
        <v>-76</v>
      </c>
      <c r="AH70" s="104">
        <v>-101</v>
      </c>
      <c r="AI70" s="104"/>
      <c r="AJ70" s="104">
        <v>-71</v>
      </c>
      <c r="AK70"/>
      <c r="AL70"/>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row>
    <row r="71" spans="2:75" ht="15" outlineLevel="1" x14ac:dyDescent="0.25">
      <c r="B71" s="24" t="s">
        <v>158</v>
      </c>
      <c r="C71" s="24" t="s">
        <v>18</v>
      </c>
      <c r="D71" s="16"/>
      <c r="E71" s="16"/>
      <c r="F71" s="16"/>
      <c r="G71" s="16"/>
      <c r="H71" s="16"/>
      <c r="I71" s="16"/>
      <c r="J71" s="16"/>
      <c r="K71" s="16"/>
      <c r="L71" s="16"/>
      <c r="M71" s="16"/>
      <c r="N71" s="16"/>
      <c r="O71" s="16"/>
      <c r="P71" s="16"/>
      <c r="Q71" s="16"/>
      <c r="R71" s="16">
        <v>185858</v>
      </c>
      <c r="S71" s="16">
        <v>185858</v>
      </c>
      <c r="T71" s="126"/>
      <c r="U71" s="59"/>
      <c r="V71" s="59" t="s">
        <v>100</v>
      </c>
      <c r="W71" s="59"/>
      <c r="X71" s="16"/>
      <c r="Y71" s="16"/>
      <c r="Z71" s="16"/>
      <c r="AA71" s="16"/>
      <c r="AB71" s="104"/>
      <c r="AC71" s="104"/>
      <c r="AD71" s="104"/>
      <c r="AE71" s="104"/>
      <c r="AF71" s="104"/>
      <c r="AG71" s="104"/>
      <c r="AH71" s="104"/>
      <c r="AI71" s="104"/>
      <c r="AJ71"/>
      <c r="AK71"/>
      <c r="AL71"/>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row>
    <row r="72" spans="2:75" ht="15" outlineLevel="1" x14ac:dyDescent="0.25">
      <c r="B72" s="24" t="s">
        <v>159</v>
      </c>
      <c r="C72" s="24" t="s">
        <v>18</v>
      </c>
      <c r="D72" s="16">
        <v>-4</v>
      </c>
      <c r="E72" s="16">
        <v>-1976</v>
      </c>
      <c r="F72" s="16">
        <v>-137</v>
      </c>
      <c r="G72" s="16">
        <v>-273</v>
      </c>
      <c r="H72" s="16">
        <v>-9252</v>
      </c>
      <c r="I72" s="16">
        <v>-9139</v>
      </c>
      <c r="J72" s="16">
        <v>-9445</v>
      </c>
      <c r="K72" s="16">
        <v>-22517</v>
      </c>
      <c r="L72" s="16">
        <v>-4505</v>
      </c>
      <c r="M72" s="16">
        <v>-18715</v>
      </c>
      <c r="N72" s="16">
        <v>-23220</v>
      </c>
      <c r="O72" s="16">
        <v>-29050</v>
      </c>
      <c r="P72" s="16"/>
      <c r="Q72" s="16">
        <v>-19998</v>
      </c>
      <c r="R72" s="16">
        <v>-19998</v>
      </c>
      <c r="S72" s="16">
        <v>-26584</v>
      </c>
      <c r="T72" s="126">
        <v>-27736</v>
      </c>
      <c r="U72" s="59">
        <v>-81158</v>
      </c>
      <c r="V72" s="59">
        <v>-81220</v>
      </c>
      <c r="W72" s="59"/>
      <c r="X72" s="16"/>
      <c r="Y72" s="16"/>
      <c r="Z72" s="16">
        <v>-67245</v>
      </c>
      <c r="AA72" s="16"/>
      <c r="AB72" s="132">
        <v>-208</v>
      </c>
      <c r="AC72" s="132">
        <v>-95981</v>
      </c>
      <c r="AD72" s="132">
        <v>-98722</v>
      </c>
      <c r="AE72" s="132"/>
      <c r="AF72" s="132"/>
      <c r="AG72" s="132">
        <v>-87473</v>
      </c>
      <c r="AH72" s="132">
        <v>-101631</v>
      </c>
      <c r="AI72" s="132"/>
      <c r="AJ72"/>
      <c r="AK72"/>
      <c r="AL72"/>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row>
    <row r="73" spans="2:75" ht="15" outlineLevel="1" x14ac:dyDescent="0.25">
      <c r="B73" s="24" t="s">
        <v>314</v>
      </c>
      <c r="C73" s="24" t="s">
        <v>18</v>
      </c>
      <c r="D73" s="16"/>
      <c r="E73" s="16"/>
      <c r="F73" s="16"/>
      <c r="G73" s="16"/>
      <c r="H73" s="16"/>
      <c r="I73" s="16"/>
      <c r="J73" s="16"/>
      <c r="K73" s="16"/>
      <c r="L73" s="16"/>
      <c r="M73" s="16"/>
      <c r="N73" s="16"/>
      <c r="O73" s="16"/>
      <c r="P73" s="16"/>
      <c r="Q73" s="16"/>
      <c r="R73" s="16"/>
      <c r="S73" s="16"/>
      <c r="T73" s="126"/>
      <c r="U73" s="59"/>
      <c r="V73" s="59"/>
      <c r="W73" s="59">
        <v>-85667</v>
      </c>
      <c r="X73" s="16"/>
      <c r="Y73" s="16">
        <v>-67140</v>
      </c>
      <c r="Z73" s="16"/>
      <c r="AA73" s="16">
        <v>-67245</v>
      </c>
      <c r="AB73" s="132"/>
      <c r="AC73" s="132"/>
      <c r="AD73" s="132"/>
      <c r="AE73" s="132">
        <v>-120252</v>
      </c>
      <c r="AF73" s="132"/>
      <c r="AG73" s="132"/>
      <c r="AH73" s="132"/>
      <c r="AI73" s="132">
        <v>-233589</v>
      </c>
      <c r="AJ73"/>
      <c r="AK73"/>
      <c r="AL73"/>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row>
    <row r="74" spans="2:75" s="24" customFormat="1" ht="15" outlineLevel="1" x14ac:dyDescent="0.25">
      <c r="B74" s="24" t="s">
        <v>52</v>
      </c>
      <c r="C74" s="24" t="s">
        <v>18</v>
      </c>
      <c r="D74" s="16"/>
      <c r="E74" s="16">
        <v>-45019</v>
      </c>
      <c r="F74" s="16">
        <v>-45019</v>
      </c>
      <c r="G74" s="16">
        <v>-161661</v>
      </c>
      <c r="H74" s="16"/>
      <c r="I74" s="16">
        <v>-80001</v>
      </c>
      <c r="J74" s="16">
        <v>-80001</v>
      </c>
      <c r="K74" s="16">
        <v>-80001</v>
      </c>
      <c r="L74" s="16"/>
      <c r="M74" s="16">
        <v>-99002</v>
      </c>
      <c r="N74" s="16">
        <v>-99002</v>
      </c>
      <c r="O74" s="16">
        <v>-99002</v>
      </c>
      <c r="P74" s="16"/>
      <c r="Q74" s="16"/>
      <c r="R74" s="16">
        <v>-150082</v>
      </c>
      <c r="S74" s="16">
        <v>-150082</v>
      </c>
      <c r="T74" s="126"/>
      <c r="U74" s="59"/>
      <c r="V74" s="59">
        <v>-227388</v>
      </c>
      <c r="W74" s="59">
        <v>-227388</v>
      </c>
      <c r="X74" s="16"/>
      <c r="Y74" s="16"/>
      <c r="Z74" s="16">
        <v>-200970</v>
      </c>
      <c r="AA74" s="16">
        <v>-200970</v>
      </c>
      <c r="AB74" s="132"/>
      <c r="AC74" s="132">
        <v>-314649</v>
      </c>
      <c r="AD74" s="132">
        <v>-314649</v>
      </c>
      <c r="AE74" s="132">
        <v>-314649</v>
      </c>
      <c r="AF74" s="132"/>
      <c r="AG74" s="132"/>
      <c r="AH74" s="132">
        <v>-327858</v>
      </c>
      <c r="AI74" s="132">
        <v>-327858</v>
      </c>
      <c r="AJ74"/>
      <c r="AK74"/>
      <c r="AL74"/>
    </row>
    <row r="75" spans="2:75" ht="15" outlineLevel="1" x14ac:dyDescent="0.25">
      <c r="B75" s="24" t="s">
        <v>160</v>
      </c>
      <c r="C75" s="24" t="s">
        <v>18</v>
      </c>
      <c r="D75" s="16"/>
      <c r="E75" s="16"/>
      <c r="F75" s="16"/>
      <c r="G75" s="16"/>
      <c r="H75" s="16"/>
      <c r="I75" s="16"/>
      <c r="J75" s="16">
        <v>-323</v>
      </c>
      <c r="K75" s="16"/>
      <c r="L75" s="16"/>
      <c r="M75" s="16"/>
      <c r="N75" s="16"/>
      <c r="O75" s="16"/>
      <c r="P75" s="16"/>
      <c r="Q75" s="16"/>
      <c r="R75" s="16"/>
      <c r="S75" s="16"/>
      <c r="T75" s="126"/>
      <c r="X75" s="24"/>
      <c r="Y75" s="16"/>
      <c r="Z75" s="16"/>
      <c r="AA75" s="16"/>
      <c r="AB75" s="104"/>
      <c r="AC75" s="104"/>
      <c r="AD75" s="104"/>
      <c r="AE75" s="104"/>
      <c r="AF75" s="104"/>
      <c r="AG75" s="104"/>
      <c r="AH75" s="104"/>
      <c r="AI75" s="104"/>
      <c r="AJ75"/>
      <c r="AK75"/>
      <c r="AL75"/>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row>
    <row r="76" spans="2:75" ht="15" outlineLevel="1" x14ac:dyDescent="0.25">
      <c r="B76" s="24" t="s">
        <v>315</v>
      </c>
      <c r="C76" s="24" t="s">
        <v>18</v>
      </c>
      <c r="D76" s="16"/>
      <c r="E76" s="16"/>
      <c r="F76" s="16"/>
      <c r="G76" s="16"/>
      <c r="H76" s="16"/>
      <c r="I76" s="16"/>
      <c r="J76" s="16"/>
      <c r="K76" s="16"/>
      <c r="L76" s="16"/>
      <c r="M76" s="16"/>
      <c r="N76" s="16"/>
      <c r="O76" s="16"/>
      <c r="P76" s="16"/>
      <c r="Q76" s="16"/>
      <c r="R76" s="16"/>
      <c r="S76" s="16"/>
      <c r="T76" s="126"/>
      <c r="W76" s="59"/>
      <c r="X76" s="24"/>
      <c r="Y76" s="16"/>
      <c r="Z76" s="16"/>
      <c r="AA76" s="16"/>
      <c r="AB76" s="104"/>
      <c r="AC76" s="104"/>
      <c r="AD76" s="104"/>
      <c r="AE76" s="104"/>
      <c r="AF76" s="104"/>
      <c r="AG76" s="104"/>
      <c r="AH76" s="104"/>
      <c r="AI76" s="104"/>
      <c r="AJ76"/>
      <c r="AK76"/>
      <c r="AL76"/>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row>
    <row r="77" spans="2:75" ht="15" outlineLevel="1" x14ac:dyDescent="0.25">
      <c r="B77" s="182" t="s">
        <v>328</v>
      </c>
      <c r="C77" s="24" t="s">
        <v>18</v>
      </c>
      <c r="D77" s="16"/>
      <c r="E77" s="16"/>
      <c r="F77" s="16"/>
      <c r="G77" s="16"/>
      <c r="H77" s="16"/>
      <c r="I77" s="16"/>
      <c r="J77" s="16"/>
      <c r="K77" s="16"/>
      <c r="L77" s="16"/>
      <c r="M77" s="16"/>
      <c r="N77" s="16"/>
      <c r="O77" s="16"/>
      <c r="P77" s="16"/>
      <c r="Q77" s="16"/>
      <c r="R77" s="16"/>
      <c r="S77" s="16"/>
      <c r="T77" s="126"/>
      <c r="U77" s="59">
        <v>-5</v>
      </c>
      <c r="V77" s="59"/>
      <c r="W77" s="189">
        <f>-10-162</f>
        <v>-172</v>
      </c>
      <c r="X77" s="24"/>
      <c r="Y77" s="16"/>
      <c r="Z77" s="16"/>
      <c r="AA77" s="16">
        <v>-43</v>
      </c>
      <c r="AB77" s="132"/>
      <c r="AC77" s="132"/>
      <c r="AD77" s="132"/>
      <c r="AE77" s="132">
        <v>-852</v>
      </c>
      <c r="AF77" s="132"/>
      <c r="AG77" s="132"/>
      <c r="AH77" s="132"/>
      <c r="AI77" s="132">
        <v>-133</v>
      </c>
      <c r="AJ77"/>
      <c r="AK77"/>
      <c r="AL77"/>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row>
    <row r="78" spans="2:75" ht="15" outlineLevel="1" x14ac:dyDescent="0.25">
      <c r="B78" s="25" t="s">
        <v>161</v>
      </c>
      <c r="C78" s="25" t="s">
        <v>18</v>
      </c>
      <c r="D78" s="62">
        <f t="shared" ref="D78:T78" si="4">SUM(D64:D75)</f>
        <v>-23495</v>
      </c>
      <c r="E78" s="62">
        <f t="shared" si="4"/>
        <v>-82880</v>
      </c>
      <c r="F78" s="62">
        <f t="shared" si="4"/>
        <v>-139524</v>
      </c>
      <c r="G78" s="62">
        <f t="shared" si="4"/>
        <v>-139272</v>
      </c>
      <c r="H78" s="62">
        <f t="shared" si="4"/>
        <v>-69878</v>
      </c>
      <c r="I78" s="62">
        <f t="shared" si="4"/>
        <v>-161487</v>
      </c>
      <c r="J78" s="62">
        <f t="shared" si="4"/>
        <v>-101911</v>
      </c>
      <c r="K78" s="62">
        <f t="shared" si="4"/>
        <v>-159103</v>
      </c>
      <c r="L78" s="62">
        <f t="shared" si="4"/>
        <v>-52086</v>
      </c>
      <c r="M78" s="62">
        <f t="shared" si="4"/>
        <v>-121159</v>
      </c>
      <c r="N78" s="62">
        <f t="shared" si="4"/>
        <v>-202204</v>
      </c>
      <c r="O78" s="62">
        <f t="shared" si="4"/>
        <v>-201415</v>
      </c>
      <c r="P78" s="62">
        <f t="shared" si="4"/>
        <v>-3593</v>
      </c>
      <c r="Q78" s="62">
        <f t="shared" si="4"/>
        <v>-30515</v>
      </c>
      <c r="R78" s="62">
        <f t="shared" si="4"/>
        <v>5270</v>
      </c>
      <c r="S78" s="62">
        <f t="shared" si="4"/>
        <v>-1843</v>
      </c>
      <c r="T78" s="62">
        <f t="shared" si="4"/>
        <v>-27862</v>
      </c>
      <c r="U78" s="62">
        <f t="shared" ref="U78:AJ78" si="5">SUM(U64:U77)</f>
        <v>-81293</v>
      </c>
      <c r="V78" s="62">
        <f t="shared" si="5"/>
        <v>-312254</v>
      </c>
      <c r="W78" s="62">
        <f t="shared" si="5"/>
        <v>-268877</v>
      </c>
      <c r="X78" s="62">
        <f t="shared" si="5"/>
        <v>-50548</v>
      </c>
      <c r="Y78" s="62">
        <f t="shared" si="5"/>
        <v>-95334</v>
      </c>
      <c r="Z78" s="62">
        <f t="shared" si="5"/>
        <v>-319414</v>
      </c>
      <c r="AA78" s="62">
        <f t="shared" si="5"/>
        <v>-319425</v>
      </c>
      <c r="AB78" s="62">
        <f t="shared" si="5"/>
        <v>3060</v>
      </c>
      <c r="AC78" s="62">
        <f t="shared" si="5"/>
        <v>-402151</v>
      </c>
      <c r="AD78" s="62">
        <f t="shared" si="5"/>
        <v>-408345</v>
      </c>
      <c r="AE78" s="62">
        <f t="shared" si="5"/>
        <v>-415264</v>
      </c>
      <c r="AF78" s="62">
        <f t="shared" si="5"/>
        <v>6035</v>
      </c>
      <c r="AG78" s="62">
        <f t="shared" si="5"/>
        <v>-50538</v>
      </c>
      <c r="AH78" s="62">
        <f t="shared" si="5"/>
        <v>-384628</v>
      </c>
      <c r="AI78" s="62">
        <f t="shared" si="5"/>
        <v>-488144</v>
      </c>
      <c r="AJ78" s="62">
        <f t="shared" si="5"/>
        <v>3061</v>
      </c>
      <c r="AK78"/>
      <c r="AL78"/>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row>
    <row r="79" spans="2:75" ht="15" outlineLevel="1" x14ac:dyDescent="0.25">
      <c r="B79" s="26"/>
      <c r="C79" s="26"/>
      <c r="D79" s="9"/>
      <c r="E79" s="9"/>
      <c r="F79" s="9"/>
      <c r="G79" s="9"/>
      <c r="H79" s="9"/>
      <c r="I79" s="26"/>
      <c r="J79" s="26"/>
      <c r="K79" s="26"/>
      <c r="L79" s="26"/>
      <c r="M79" s="26"/>
      <c r="N79" s="60"/>
      <c r="O79" s="26"/>
      <c r="P79" s="26"/>
      <c r="Q79" s="26"/>
      <c r="R79" s="60"/>
      <c r="S79" s="26"/>
      <c r="T79" s="26"/>
      <c r="U79" s="24"/>
      <c r="V79" s="24"/>
      <c r="W79" s="24"/>
      <c r="X79" s="24"/>
      <c r="Y79" s="24"/>
      <c r="Z79" s="24"/>
      <c r="AA79" s="24"/>
      <c r="AB79" s="132"/>
      <c r="AC79" s="132"/>
      <c r="AD79" s="132"/>
      <c r="AE79" s="132"/>
      <c r="AF79" s="132"/>
      <c r="AG79" s="132"/>
      <c r="AH79" s="132"/>
      <c r="AI79" s="132"/>
      <c r="AJ79"/>
      <c r="AK79"/>
      <c r="AL79"/>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row>
    <row r="80" spans="2:75" ht="15" outlineLevel="1" x14ac:dyDescent="0.25">
      <c r="B80" s="26" t="s">
        <v>162</v>
      </c>
      <c r="C80" s="26" t="s">
        <v>18</v>
      </c>
      <c r="D80" s="60">
        <f t="shared" ref="D80:R80" si="6">D31+D61+D78</f>
        <v>-197597</v>
      </c>
      <c r="E80" s="60">
        <f t="shared" si="6"/>
        <v>-141039</v>
      </c>
      <c r="F80" s="60">
        <f t="shared" si="6"/>
        <v>-123505</v>
      </c>
      <c r="G80" s="60">
        <f t="shared" si="6"/>
        <v>-121224</v>
      </c>
      <c r="H80" s="60">
        <f t="shared" si="6"/>
        <v>-14432</v>
      </c>
      <c r="I80" s="60">
        <f t="shared" si="6"/>
        <v>-66187</v>
      </c>
      <c r="J80" s="60">
        <f t="shared" si="6"/>
        <v>-41242</v>
      </c>
      <c r="K80" s="60">
        <f t="shared" si="6"/>
        <v>-27845</v>
      </c>
      <c r="L80" s="60">
        <f t="shared" si="6"/>
        <v>9585</v>
      </c>
      <c r="M80" s="60">
        <f t="shared" si="6"/>
        <v>-39061</v>
      </c>
      <c r="N80" s="60">
        <f t="shared" si="6"/>
        <v>25128</v>
      </c>
      <c r="O80" s="60">
        <f t="shared" si="6"/>
        <v>8937</v>
      </c>
      <c r="P80" s="60">
        <f t="shared" si="6"/>
        <v>61888</v>
      </c>
      <c r="Q80" s="60">
        <f t="shared" si="6"/>
        <v>36468</v>
      </c>
      <c r="R80" s="60">
        <f t="shared" si="6"/>
        <v>7938</v>
      </c>
      <c r="S80" s="60">
        <v>45645</v>
      </c>
      <c r="T80" s="60">
        <v>38271</v>
      </c>
      <c r="U80" s="133">
        <f>U31+U61+U78</f>
        <v>203870</v>
      </c>
      <c r="V80" s="133">
        <f>V31+V61+V78</f>
        <v>67914</v>
      </c>
      <c r="W80" s="133">
        <v>4089</v>
      </c>
      <c r="X80" s="121">
        <v>110746</v>
      </c>
      <c r="Y80" s="121">
        <v>103762</v>
      </c>
      <c r="Z80" s="121">
        <v>-3804</v>
      </c>
      <c r="AA80" s="121">
        <v>51600</v>
      </c>
      <c r="AB80" s="121">
        <v>207477</v>
      </c>
      <c r="AC80" s="121">
        <v>-64627</v>
      </c>
      <c r="AD80" s="121">
        <v>20115</v>
      </c>
      <c r="AE80" s="121">
        <v>58808</v>
      </c>
      <c r="AF80" s="121">
        <v>147424</v>
      </c>
      <c r="AG80" s="121">
        <v>292437</v>
      </c>
      <c r="AH80" s="121">
        <v>79172</v>
      </c>
      <c r="AI80" s="121">
        <v>63144</v>
      </c>
      <c r="AJ80" s="121">
        <v>18661</v>
      </c>
      <c r="AK80"/>
      <c r="AL80"/>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row>
    <row r="81" spans="2:75" ht="15" outlineLevel="1" x14ac:dyDescent="0.25">
      <c r="B81" s="2" t="s">
        <v>54</v>
      </c>
      <c r="C81" s="24" t="s">
        <v>18</v>
      </c>
      <c r="D81" s="16">
        <v>239936</v>
      </c>
      <c r="E81" s="16">
        <v>239936</v>
      </c>
      <c r="F81" s="16">
        <v>239936</v>
      </c>
      <c r="G81" s="16">
        <v>239936</v>
      </c>
      <c r="H81" s="16">
        <v>128819</v>
      </c>
      <c r="I81" s="16">
        <v>128819</v>
      </c>
      <c r="J81" s="16">
        <v>128819</v>
      </c>
      <c r="K81" s="16">
        <v>128819</v>
      </c>
      <c r="L81" s="16">
        <v>98560</v>
      </c>
      <c r="M81" s="16">
        <v>98560</v>
      </c>
      <c r="N81" s="16">
        <v>98560</v>
      </c>
      <c r="O81" s="16">
        <v>98560</v>
      </c>
      <c r="P81" s="16">
        <v>113347</v>
      </c>
      <c r="Q81" s="16">
        <v>113347</v>
      </c>
      <c r="R81" s="16">
        <v>113347</v>
      </c>
      <c r="S81" s="16">
        <v>113347</v>
      </c>
      <c r="T81" s="126">
        <v>161190</v>
      </c>
      <c r="U81" s="16">
        <v>161190</v>
      </c>
      <c r="V81" s="16">
        <v>161190</v>
      </c>
      <c r="W81" s="16">
        <v>161190</v>
      </c>
      <c r="X81" s="16">
        <v>169536</v>
      </c>
      <c r="Y81" s="16">
        <v>169536</v>
      </c>
      <c r="Z81" s="16">
        <v>169536</v>
      </c>
      <c r="AA81" s="16">
        <v>169536</v>
      </c>
      <c r="AB81" s="104">
        <v>211912</v>
      </c>
      <c r="AC81" s="104">
        <v>211912</v>
      </c>
      <c r="AD81" s="104">
        <v>211912</v>
      </c>
      <c r="AE81" s="104">
        <v>211912</v>
      </c>
      <c r="AF81" s="104">
        <v>294385</v>
      </c>
      <c r="AG81" s="104">
        <v>294385</v>
      </c>
      <c r="AH81" s="104">
        <v>294385</v>
      </c>
      <c r="AI81" s="104">
        <v>294385</v>
      </c>
      <c r="AJ81" s="220">
        <v>347398</v>
      </c>
      <c r="AK81"/>
      <c r="AL81"/>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row>
    <row r="82" spans="2:75" ht="15" outlineLevel="1" x14ac:dyDescent="0.25">
      <c r="B82" s="2" t="s">
        <v>163</v>
      </c>
      <c r="C82" s="24" t="s">
        <v>18</v>
      </c>
      <c r="D82" s="16">
        <v>-8008</v>
      </c>
      <c r="E82" s="16">
        <v>1645</v>
      </c>
      <c r="F82" s="16">
        <v>7773</v>
      </c>
      <c r="G82" s="16">
        <v>10128</v>
      </c>
      <c r="H82" s="16">
        <v>-2268</v>
      </c>
      <c r="I82" s="16">
        <v>-2632</v>
      </c>
      <c r="J82" s="16">
        <v>-1516</v>
      </c>
      <c r="K82" s="16">
        <v>-2407</v>
      </c>
      <c r="L82" s="16">
        <v>12394</v>
      </c>
      <c r="M82" s="16">
        <v>5529</v>
      </c>
      <c r="N82" s="16">
        <v>8559</v>
      </c>
      <c r="O82" s="16">
        <v>5844</v>
      </c>
      <c r="P82" s="16">
        <v>971</v>
      </c>
      <c r="Q82" s="16">
        <v>1955</v>
      </c>
      <c r="R82" s="16">
        <v>624</v>
      </c>
      <c r="S82" s="24">
        <v>2201</v>
      </c>
      <c r="T82" s="126">
        <v>13929</v>
      </c>
      <c r="U82" s="16">
        <v>15326</v>
      </c>
      <c r="V82" s="16">
        <v>9685</v>
      </c>
      <c r="W82" s="16">
        <v>4245</v>
      </c>
      <c r="X82" s="16">
        <v>-4482</v>
      </c>
      <c r="Y82" s="16">
        <v>-4812</v>
      </c>
      <c r="Z82" s="16">
        <v>-2466</v>
      </c>
      <c r="AA82" s="16">
        <v>-9219</v>
      </c>
      <c r="AB82" s="132">
        <v>-5453</v>
      </c>
      <c r="AC82" s="132">
        <v>4790</v>
      </c>
      <c r="AD82" s="132">
        <v>6096</v>
      </c>
      <c r="AE82" s="132">
        <v>23808</v>
      </c>
      <c r="AF82" s="132">
        <v>-11080</v>
      </c>
      <c r="AG82" s="132">
        <v>-2981</v>
      </c>
      <c r="AH82" s="132">
        <v>5178</v>
      </c>
      <c r="AI82" s="132">
        <v>-10201</v>
      </c>
      <c r="AJ82" s="132">
        <v>-10250</v>
      </c>
      <c r="AK82"/>
      <c r="AL82"/>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row>
    <row r="83" spans="2:75" ht="15" outlineLevel="1" x14ac:dyDescent="0.25">
      <c r="B83" s="2" t="s">
        <v>164</v>
      </c>
      <c r="C83" s="24" t="s">
        <v>18</v>
      </c>
      <c r="D83" s="16"/>
      <c r="E83" s="16"/>
      <c r="F83" s="16"/>
      <c r="G83" s="16">
        <v>-21</v>
      </c>
      <c r="H83" s="16">
        <v>5</v>
      </c>
      <c r="I83" s="16">
        <v>12</v>
      </c>
      <c r="J83" s="16">
        <v>4</v>
      </c>
      <c r="K83" s="16">
        <v>-7</v>
      </c>
      <c r="L83" s="16">
        <v>8</v>
      </c>
      <c r="M83" s="16">
        <v>13</v>
      </c>
      <c r="N83" s="16">
        <v>-7</v>
      </c>
      <c r="O83" s="16">
        <v>6</v>
      </c>
      <c r="P83" s="16">
        <v>-13</v>
      </c>
      <c r="Q83" s="16">
        <v>-8</v>
      </c>
      <c r="R83" s="16">
        <v>-2</v>
      </c>
      <c r="S83" s="24">
        <v>-3</v>
      </c>
      <c r="T83" s="126">
        <v>8</v>
      </c>
      <c r="U83" s="16">
        <v>8</v>
      </c>
      <c r="V83" s="16">
        <v>4</v>
      </c>
      <c r="W83" s="16">
        <v>12</v>
      </c>
      <c r="X83" s="16"/>
      <c r="Y83" s="16">
        <v>-19</v>
      </c>
      <c r="Z83" s="16">
        <v>-4</v>
      </c>
      <c r="AA83" s="16">
        <v>-5</v>
      </c>
      <c r="AB83" s="132">
        <v>-43</v>
      </c>
      <c r="AC83" s="132">
        <v>25</v>
      </c>
      <c r="AD83" s="132">
        <v>-37</v>
      </c>
      <c r="AE83" s="132">
        <v>-143</v>
      </c>
      <c r="AF83" s="132">
        <v>-14</v>
      </c>
      <c r="AG83" s="132">
        <v>44</v>
      </c>
      <c r="AH83" s="132">
        <v>23</v>
      </c>
      <c r="AI83" s="132">
        <v>70</v>
      </c>
      <c r="AJ83" s="132">
        <v>34</v>
      </c>
      <c r="AK83"/>
      <c r="AL83"/>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row>
    <row r="84" spans="2:75" ht="15" outlineLevel="1" x14ac:dyDescent="0.25">
      <c r="B84" s="25" t="s">
        <v>55</v>
      </c>
      <c r="C84" s="25" t="s">
        <v>18</v>
      </c>
      <c r="D84" s="62">
        <f>SUM(D80:D83)</f>
        <v>34331</v>
      </c>
      <c r="E84" s="62">
        <f>SUM(E80:E83)</f>
        <v>100542</v>
      </c>
      <c r="F84" s="62">
        <f>SUM(F80:F83)</f>
        <v>124204</v>
      </c>
      <c r="G84" s="62">
        <f>SUM(G80:G83)</f>
        <v>128819</v>
      </c>
      <c r="H84" s="62">
        <f>SUM(H80:H83)</f>
        <v>112124</v>
      </c>
      <c r="I84" s="62">
        <f t="shared" ref="I84:P84" si="7">SUM(I80:I83)</f>
        <v>60012</v>
      </c>
      <c r="J84" s="62">
        <f t="shared" si="7"/>
        <v>86065</v>
      </c>
      <c r="K84" s="62">
        <f t="shared" si="7"/>
        <v>98560</v>
      </c>
      <c r="L84" s="62">
        <f t="shared" si="7"/>
        <v>120547</v>
      </c>
      <c r="M84" s="62">
        <f t="shared" si="7"/>
        <v>65041</v>
      </c>
      <c r="N84" s="62">
        <f>SUM(N80:N83)</f>
        <v>132240</v>
      </c>
      <c r="O84" s="62">
        <f t="shared" si="7"/>
        <v>113347</v>
      </c>
      <c r="P84" s="62">
        <f t="shared" si="7"/>
        <v>176193</v>
      </c>
      <c r="Q84" s="62">
        <f t="shared" ref="Q84:V84" si="8">SUM(Q80:Q83)</f>
        <v>151762</v>
      </c>
      <c r="R84" s="62">
        <f t="shared" si="8"/>
        <v>121907</v>
      </c>
      <c r="S84" s="62">
        <f t="shared" si="8"/>
        <v>161190</v>
      </c>
      <c r="T84" s="62">
        <f t="shared" si="8"/>
        <v>213398</v>
      </c>
      <c r="U84" s="131">
        <f t="shared" si="8"/>
        <v>380394</v>
      </c>
      <c r="V84" s="131">
        <f t="shared" si="8"/>
        <v>238793</v>
      </c>
      <c r="W84" s="131">
        <f t="shared" ref="W84:AC84" si="9">SUM(W80:W83)</f>
        <v>169536</v>
      </c>
      <c r="X84" s="131">
        <f t="shared" si="9"/>
        <v>275800</v>
      </c>
      <c r="Y84" s="131">
        <f t="shared" si="9"/>
        <v>268467</v>
      </c>
      <c r="Z84" s="131">
        <f t="shared" si="9"/>
        <v>163262</v>
      </c>
      <c r="AA84" s="131">
        <f t="shared" si="9"/>
        <v>211912</v>
      </c>
      <c r="AB84" s="131">
        <f t="shared" si="9"/>
        <v>413893</v>
      </c>
      <c r="AC84" s="131">
        <f t="shared" si="9"/>
        <v>152100</v>
      </c>
      <c r="AD84" s="131">
        <f t="shared" ref="AD84:AI84" si="10">SUM(AD80:AD83)</f>
        <v>238086</v>
      </c>
      <c r="AE84" s="131">
        <f t="shared" si="10"/>
        <v>294385</v>
      </c>
      <c r="AF84" s="131">
        <f t="shared" si="10"/>
        <v>430715</v>
      </c>
      <c r="AG84" s="131">
        <f t="shared" si="10"/>
        <v>583885</v>
      </c>
      <c r="AH84" s="131">
        <f t="shared" si="10"/>
        <v>378758</v>
      </c>
      <c r="AI84" s="131">
        <f t="shared" si="10"/>
        <v>347398</v>
      </c>
      <c r="AJ84" s="131">
        <f>SUM(AJ80:AJ83)</f>
        <v>355843</v>
      </c>
      <c r="AK84"/>
      <c r="AL8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row>
    <row r="85" spans="2:75" ht="15" outlineLevel="1" x14ac:dyDescent="0.25">
      <c r="U85" s="24"/>
      <c r="V85" s="24"/>
      <c r="W85" s="24"/>
      <c r="X85" s="24"/>
      <c r="Y85" s="24"/>
      <c r="Z85" s="24"/>
      <c r="AA85" s="24"/>
      <c r="AB85" s="104"/>
      <c r="AC85" s="24"/>
      <c r="AD85" s="24"/>
      <c r="AE85" s="24"/>
      <c r="AF85"/>
      <c r="AG85"/>
      <c r="AH85"/>
      <c r="AI85"/>
      <c r="AJ85"/>
      <c r="AK85"/>
      <c r="AL85"/>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row>
    <row r="86" spans="2:75" s="24" customFormat="1" outlineLevel="1" x14ac:dyDescent="0.2">
      <c r="B86" s="28"/>
      <c r="C86" s="28"/>
      <c r="D86" s="28" t="s">
        <v>204</v>
      </c>
      <c r="E86" s="28" t="str">
        <f>IF(ABS(E84-'2.Balance Sheet'!E43)&lt;1,"ok","Error")</f>
        <v>ok</v>
      </c>
      <c r="F86" s="28" t="s">
        <v>204</v>
      </c>
      <c r="G86" s="28" t="str">
        <f>IF(ABS(G84-'2.Balance Sheet'!G43)&lt;1,"ok","Error")</f>
        <v>ok</v>
      </c>
      <c r="H86" s="28" t="str">
        <f>IF(ABS(H84-'2.Balance Sheet'!H43)&lt;1,"ok","Error")</f>
        <v>ok</v>
      </c>
      <c r="I86" s="28" t="str">
        <f>IF(ABS(I84-'2.Balance Sheet'!I43)&lt;1,"ok","Error")</f>
        <v>ok</v>
      </c>
      <c r="J86" s="28" t="str">
        <f>IF(ABS(J84-'2.Balance Sheet'!J43)&lt;1,"ok","Error")</f>
        <v>ok</v>
      </c>
      <c r="K86" s="28" t="str">
        <f>IF(ABS(K84-'2.Balance Sheet'!K43)&lt;1,"ok","Error")</f>
        <v>ok</v>
      </c>
      <c r="L86" s="28" t="str">
        <f>IF(ABS(L84-'2.Balance Sheet'!L43)&lt;1,"ok","Error")</f>
        <v>ok</v>
      </c>
      <c r="M86" s="28" t="str">
        <f>IF(ABS(M84-'2.Balance Sheet'!M43)&lt;1,"ok","Error")</f>
        <v>ok</v>
      </c>
      <c r="N86" s="28" t="str">
        <f>IF(ABS(N84-'2.Balance Sheet'!N43)&lt;1,"ok","Error")</f>
        <v>ok</v>
      </c>
      <c r="O86" s="28" t="str">
        <f>IF(ABS(O84-'2.Balance Sheet'!O43)&lt;1,"ok","Error")</f>
        <v>ok</v>
      </c>
      <c r="P86" s="28" t="str">
        <f>IF(ABS(P84-'2.Balance Sheet'!P43)&lt;1,"ok","Error")</f>
        <v>ok</v>
      </c>
      <c r="Q86" s="28" t="str">
        <f>IF(ABS(Q84-'2.Balance Sheet'!Q43)&lt;1,"ok","Error")</f>
        <v>ok</v>
      </c>
      <c r="R86" s="28" t="str">
        <f>IF(ABS(R84-'2.Balance Sheet'!R43)&lt;1,"ok","Error")</f>
        <v>ok</v>
      </c>
      <c r="S86" s="28" t="str">
        <f>IF(ABS(S84-'2.Balance Sheet'!S43)&lt;1,"ok","Error")</f>
        <v>ok</v>
      </c>
      <c r="T86" s="28" t="str">
        <f>IF(ABS(T84-'2.Balance Sheet'!T43)&lt;1,"ok","Error")</f>
        <v>ok</v>
      </c>
      <c r="U86" s="28" t="str">
        <f>IF(ABS(U84-'2.Balance Sheet'!U43)&lt;1,"ok","Error")</f>
        <v>ok</v>
      </c>
      <c r="V86" s="28" t="str">
        <f>IF(ABS(V84-'2.Balance Sheet'!V43)&lt;1,"ok","Error")</f>
        <v>ok</v>
      </c>
      <c r="W86" s="28" t="str">
        <f>IF(ABS(W84-'2.Balance Sheet'!W43)&lt;1,"ok","Error")</f>
        <v>ok</v>
      </c>
      <c r="X86" s="28" t="str">
        <f>IF(ABS(X84-'2.Balance Sheet'!X43)&lt;1,"ok","Error")</f>
        <v>ok</v>
      </c>
      <c r="Y86" s="28" t="str">
        <f>IF(ABS(Y84-'2.Balance Sheet'!Y43)&lt;1,"ok","Error")</f>
        <v>ok</v>
      </c>
      <c r="Z86" s="28" t="str">
        <f>IF(ABS(Z84-'2.Balance Sheet'!Z43)&lt;1,"ok","Error")</f>
        <v>ok</v>
      </c>
      <c r="AA86" s="28" t="str">
        <f>IF(ABS(AA84-'2.Balance Sheet'!AA43)&lt;1,"ok","Error")</f>
        <v>ok</v>
      </c>
      <c r="AB86" s="28" t="str">
        <f>IF(ABS(AB84-'2.Balance Sheet'!AB43)&lt;1,"ok","Error")</f>
        <v>ok</v>
      </c>
      <c r="AC86" s="28" t="str">
        <f>IF(ABS(AC84-'2.Balance Sheet'!AC43)&lt;1,"ok","Error")</f>
        <v>ok</v>
      </c>
      <c r="AD86" s="28" t="str">
        <f>IF(ABS(AD84-'2.Balance Sheet'!AD43)&lt;1,"ok","Error")</f>
        <v>ok</v>
      </c>
      <c r="AE86" s="28" t="str">
        <f>IF(ABS(AE84-'2.Balance Sheet'!AE43)&lt;1,"ok","Error")</f>
        <v>ok</v>
      </c>
      <c r="AF86" s="28" t="str">
        <f>IF(ABS(AF84-'2.Balance Sheet'!AF43)&lt;1,"ok","Error")</f>
        <v>ok</v>
      </c>
      <c r="AG86" s="28" t="str">
        <f>IF(ABS(AG84-'2.Balance Sheet'!AG43)&lt;1,"ok","Error")</f>
        <v>ok</v>
      </c>
      <c r="AH86" s="28" t="str">
        <f>IF(ABS(AH84-'2.Balance Sheet'!AH43)&lt;1,"ok","Error")</f>
        <v>ok</v>
      </c>
      <c r="AI86" s="28" t="str">
        <f>IF(ABS(AI84-'2.Balance Sheet'!AI43)&lt;1,"ok","Error")</f>
        <v>ok</v>
      </c>
    </row>
    <row r="87" spans="2:75" outlineLevel="1" x14ac:dyDescent="0.2">
      <c r="U87" s="24"/>
      <c r="V87" s="24"/>
      <c r="W87" s="24"/>
      <c r="X87" s="24"/>
      <c r="Y87" s="24"/>
      <c r="Z87" s="24"/>
      <c r="AA87" s="24"/>
      <c r="AB87" s="132"/>
      <c r="AC87" s="24"/>
      <c r="AD87" s="24"/>
      <c r="AE87" s="24"/>
      <c r="AF87" s="24"/>
      <c r="AG87" s="24"/>
      <c r="AH87" s="24"/>
      <c r="AI87" s="24"/>
      <c r="AJ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row>
    <row r="88" spans="2:75" x14ac:dyDescent="0.2">
      <c r="U88" s="24"/>
      <c r="V88" s="24"/>
      <c r="W88" s="24"/>
      <c r="X88" s="24"/>
      <c r="Y88" s="24"/>
      <c r="Z88" s="24"/>
      <c r="AA88" s="24"/>
      <c r="AB88" s="132"/>
      <c r="AC88" s="24"/>
      <c r="AD88" s="24"/>
      <c r="AE88" s="24"/>
      <c r="AF88" s="24"/>
      <c r="AG88" s="24"/>
      <c r="AH88" s="24"/>
      <c r="AI88" s="24"/>
      <c r="AJ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row>
    <row r="89" spans="2:75" x14ac:dyDescent="0.2">
      <c r="U89" s="24"/>
      <c r="V89" s="24"/>
      <c r="W89" s="24"/>
      <c r="X89" s="24"/>
      <c r="Y89" s="24"/>
      <c r="Z89" s="24"/>
      <c r="AA89" s="24"/>
      <c r="AB89" s="132"/>
      <c r="AC89" s="24"/>
      <c r="AD89" s="24"/>
      <c r="AE89" s="24"/>
      <c r="AF89" s="24"/>
      <c r="AG89" s="24"/>
      <c r="AH89" s="24"/>
      <c r="AI89" s="24"/>
      <c r="AJ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row>
    <row r="90" spans="2:75" x14ac:dyDescent="0.2">
      <c r="U90" s="24"/>
      <c r="V90" s="24"/>
      <c r="W90" s="24"/>
      <c r="X90" s="24"/>
      <c r="Y90" s="24"/>
      <c r="Z90" s="24"/>
      <c r="AA90" s="24"/>
      <c r="AB90" s="104"/>
      <c r="AC90" s="24"/>
      <c r="AD90" s="24"/>
      <c r="AF90" s="24"/>
      <c r="AG90" s="24"/>
      <c r="AH90" s="24"/>
      <c r="AI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row>
    <row r="91" spans="2:75" x14ac:dyDescent="0.2">
      <c r="AF91" s="24"/>
      <c r="AG91" s="24"/>
      <c r="AH91" s="24"/>
      <c r="AI91" s="24"/>
    </row>
    <row r="92" spans="2:75" x14ac:dyDescent="0.2">
      <c r="AF92" s="24"/>
      <c r="AG92" s="24"/>
      <c r="AH92" s="24"/>
      <c r="AI92" s="24"/>
    </row>
    <row r="93" spans="2:75" x14ac:dyDescent="0.2">
      <c r="AF93" s="24"/>
      <c r="AG93" s="24"/>
      <c r="AH93" s="24"/>
      <c r="AI93" s="24"/>
    </row>
    <row r="94" spans="2:75" x14ac:dyDescent="0.2">
      <c r="AF94" s="24"/>
      <c r="AG94" s="24"/>
      <c r="AH94" s="24"/>
      <c r="AI94" s="24"/>
    </row>
    <row r="95" spans="2:75" x14ac:dyDescent="0.2">
      <c r="AF95" s="24"/>
      <c r="AG95" s="24"/>
      <c r="AH95" s="24"/>
      <c r="AI95" s="24"/>
    </row>
    <row r="96" spans="2:75" x14ac:dyDescent="0.2">
      <c r="AF96" s="24"/>
      <c r="AG96" s="24"/>
      <c r="AH96" s="24"/>
      <c r="AI96" s="24"/>
    </row>
    <row r="97" spans="32:35" outlineLevel="1" x14ac:dyDescent="0.2">
      <c r="AF97" s="24"/>
      <c r="AG97" s="24"/>
      <c r="AH97" s="24"/>
      <c r="AI97" s="24"/>
    </row>
    <row r="98" spans="32:35" outlineLevel="1" x14ac:dyDescent="0.2"/>
  </sheetData>
  <pageMargins left="0.7" right="0.7" top="0.75" bottom="0.75" header="0.3" footer="0.3"/>
  <pageSetup paperSize="9" scale="28" orientation="portrait"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T27"/>
  <sheetViews>
    <sheetView showGridLines="0" view="pageBreakPreview" zoomScaleNormal="100" zoomScaleSheetLayoutView="100" workbookViewId="0">
      <pane xSplit="3" ySplit="1" topLeftCell="D2" activePane="bottomRight" state="frozen"/>
      <selection activeCell="AF81" sqref="AF81"/>
      <selection pane="topRight" activeCell="AF81" sqref="AF81"/>
      <selection pane="bottomLeft" activeCell="AF81" sqref="AF81"/>
      <selection pane="bottomRight" activeCell="K15" sqref="K15"/>
    </sheetView>
  </sheetViews>
  <sheetFormatPr defaultColWidth="9.42578125" defaultRowHeight="12.75" outlineLevelRow="1" x14ac:dyDescent="0.2"/>
  <cols>
    <col min="1" max="1" width="4" style="2" customWidth="1"/>
    <col min="2" max="2" width="64.5703125" style="2" customWidth="1"/>
    <col min="3" max="3" width="10.5703125" style="2" customWidth="1"/>
    <col min="4" max="9" width="15.5703125" style="2" customWidth="1"/>
    <col min="10" max="11" width="14.42578125" style="2" customWidth="1"/>
    <col min="12" max="12" width="6.42578125" style="2" bestFit="1" customWidth="1" collapsed="1"/>
    <col min="13" max="16" width="10" style="2" customWidth="1"/>
    <col min="17" max="17" width="6.42578125" style="2" bestFit="1" customWidth="1" collapsed="1"/>
    <col min="18" max="19" width="10" style="2" bestFit="1" customWidth="1"/>
    <col min="20" max="16384" width="9.42578125" style="2"/>
  </cols>
  <sheetData>
    <row r="1" spans="1:20" x14ac:dyDescent="0.2">
      <c r="B1" s="3"/>
      <c r="C1" s="3"/>
      <c r="D1" s="5">
        <v>2018</v>
      </c>
      <c r="E1" s="5">
        <v>2019</v>
      </c>
      <c r="F1" s="5">
        <v>2020</v>
      </c>
      <c r="G1" s="5">
        <v>2021</v>
      </c>
      <c r="H1" s="5">
        <v>2022</v>
      </c>
      <c r="I1" s="5">
        <v>2023</v>
      </c>
      <c r="J1" s="5">
        <v>2024</v>
      </c>
      <c r="K1" s="5">
        <v>2025</v>
      </c>
      <c r="L1" s="5"/>
      <c r="M1" s="4"/>
      <c r="N1" s="4"/>
      <c r="O1" s="4"/>
      <c r="P1" s="4"/>
      <c r="Q1" s="5"/>
      <c r="R1" s="4"/>
      <c r="S1" s="4"/>
      <c r="T1" s="4"/>
    </row>
    <row r="2" spans="1:20" x14ac:dyDescent="0.2">
      <c r="D2" s="14"/>
      <c r="E2" s="14"/>
      <c r="F2" s="14"/>
      <c r="G2" s="14"/>
      <c r="H2" s="14"/>
      <c r="I2" s="14"/>
      <c r="J2" s="14"/>
      <c r="K2" s="14"/>
      <c r="L2" s="15"/>
      <c r="M2" s="14"/>
      <c r="N2" s="14"/>
      <c r="O2" s="14"/>
      <c r="P2" s="14"/>
      <c r="Q2" s="15"/>
      <c r="R2" s="14"/>
      <c r="S2" s="14"/>
    </row>
    <row r="3" spans="1:20" x14ac:dyDescent="0.2">
      <c r="B3" s="7" t="s">
        <v>93</v>
      </c>
      <c r="C3" s="8"/>
      <c r="D3" s="8"/>
      <c r="E3" s="8"/>
      <c r="F3" s="8"/>
      <c r="G3" s="8"/>
      <c r="H3" s="8"/>
      <c r="I3" s="8"/>
      <c r="J3" s="8"/>
      <c r="K3" s="8"/>
      <c r="L3" s="8"/>
      <c r="M3" s="8"/>
      <c r="N3" s="8"/>
      <c r="O3" s="8"/>
      <c r="P3" s="8"/>
      <c r="Q3" s="8"/>
      <c r="R3" s="8"/>
      <c r="S3" s="8"/>
      <c r="T3" s="8"/>
    </row>
    <row r="4" spans="1:20" outlineLevel="1" x14ac:dyDescent="0.2">
      <c r="B4" s="95" t="s">
        <v>205</v>
      </c>
    </row>
    <row r="5" spans="1:20" outlineLevel="1" x14ac:dyDescent="0.2">
      <c r="B5" s="2" t="s">
        <v>57</v>
      </c>
      <c r="C5" s="2" t="s">
        <v>256</v>
      </c>
      <c r="D5" s="94">
        <v>220661900</v>
      </c>
      <c r="E5" s="92">
        <v>210798879</v>
      </c>
      <c r="F5" s="92">
        <v>194517456</v>
      </c>
      <c r="G5" s="92">
        <v>194517456</v>
      </c>
      <c r="H5" s="92">
        <v>194517456</v>
      </c>
      <c r="I5" s="92">
        <v>194517456</v>
      </c>
      <c r="J5" s="92">
        <v>163377456</v>
      </c>
      <c r="K5" s="92">
        <v>163377456</v>
      </c>
    </row>
    <row r="6" spans="1:20" outlineLevel="1" x14ac:dyDescent="0.2">
      <c r="B6" s="2" t="s">
        <v>337</v>
      </c>
      <c r="D6" s="94"/>
      <c r="E6" s="92"/>
      <c r="F6" s="92"/>
      <c r="G6" s="92"/>
      <c r="H6" s="92"/>
      <c r="I6" s="92"/>
      <c r="J6" s="92">
        <v>31140000</v>
      </c>
      <c r="K6" s="92">
        <v>31140000</v>
      </c>
    </row>
    <row r="7" spans="1:20" customFormat="1" ht="15" outlineLevel="1" x14ac:dyDescent="0.25">
      <c r="A7" s="2"/>
      <c r="B7" s="6" t="s">
        <v>56</v>
      </c>
      <c r="C7" s="2" t="s">
        <v>256</v>
      </c>
      <c r="D7" s="94">
        <v>38694708</v>
      </c>
      <c r="E7" s="92">
        <v>48557729</v>
      </c>
      <c r="F7" s="92">
        <v>64839152</v>
      </c>
      <c r="G7" s="92">
        <v>64839152</v>
      </c>
      <c r="H7" s="92">
        <v>64839152</v>
      </c>
      <c r="I7" s="92">
        <v>64839152</v>
      </c>
      <c r="J7" s="92">
        <v>64839152</v>
      </c>
      <c r="K7" s="92">
        <v>64839152</v>
      </c>
    </row>
    <row r="8" spans="1:20" customFormat="1" ht="15" outlineLevel="1" x14ac:dyDescent="0.25">
      <c r="A8" s="2"/>
      <c r="B8" s="9" t="s">
        <v>257</v>
      </c>
      <c r="C8" s="18" t="s">
        <v>256</v>
      </c>
      <c r="D8" s="93">
        <f>D5+D7</f>
        <v>259356608</v>
      </c>
      <c r="E8" s="93">
        <f t="shared" ref="E8:G8" si="0">E5+E7</f>
        <v>259356608</v>
      </c>
      <c r="F8" s="93">
        <f>F5+F7</f>
        <v>259356608</v>
      </c>
      <c r="G8" s="93">
        <f t="shared" si="0"/>
        <v>259356608</v>
      </c>
      <c r="H8" s="93">
        <f>SUM(H5:H7)</f>
        <v>259356608</v>
      </c>
      <c r="I8" s="93">
        <f>SUM(I5:I7)</f>
        <v>259356608</v>
      </c>
      <c r="J8" s="93">
        <f>SUM(J5:J7)</f>
        <v>259356608</v>
      </c>
      <c r="K8" s="93">
        <f>SUM(K5:K7)</f>
        <v>259356608</v>
      </c>
    </row>
    <row r="9" spans="1:20" customFormat="1" ht="72" x14ac:dyDescent="0.25">
      <c r="A9" s="2"/>
      <c r="B9" s="206" t="s">
        <v>346</v>
      </c>
      <c r="C9" s="2"/>
      <c r="D9" s="2"/>
      <c r="E9" s="2"/>
      <c r="F9" s="2"/>
      <c r="G9" s="2"/>
      <c r="H9" s="2"/>
      <c r="I9" s="2"/>
    </row>
    <row r="10" spans="1:20" customFormat="1" ht="15" x14ac:dyDescent="0.25">
      <c r="A10" s="2"/>
      <c r="B10" s="21"/>
      <c r="C10" s="2"/>
      <c r="D10" s="2"/>
      <c r="E10" s="2"/>
      <c r="F10" s="2"/>
      <c r="G10" s="2"/>
      <c r="H10" s="2"/>
      <c r="I10" s="2"/>
    </row>
    <row r="11" spans="1:20" customFormat="1" ht="15" x14ac:dyDescent="0.25">
      <c r="A11" s="2"/>
      <c r="B11" s="7" t="s">
        <v>58</v>
      </c>
      <c r="C11" s="8"/>
      <c r="D11" s="8"/>
      <c r="E11" s="8"/>
      <c r="F11" s="8"/>
      <c r="G11" s="8"/>
      <c r="H11" s="8"/>
      <c r="I11" s="8"/>
      <c r="J11" s="8"/>
      <c r="K11" s="8"/>
    </row>
    <row r="12" spans="1:20" customFormat="1" ht="15" outlineLevel="1" x14ac:dyDescent="0.25">
      <c r="A12" s="2"/>
      <c r="B12" s="26"/>
      <c r="C12" s="26"/>
      <c r="D12" s="26"/>
      <c r="E12" s="26"/>
      <c r="F12" s="26"/>
      <c r="G12" s="26"/>
      <c r="H12" s="26"/>
      <c r="I12" s="26"/>
    </row>
    <row r="13" spans="1:20" customFormat="1" ht="15" outlineLevel="1" x14ac:dyDescent="0.25">
      <c r="A13" s="2"/>
      <c r="B13" s="30" t="s">
        <v>59</v>
      </c>
      <c r="C13" s="24"/>
      <c r="D13" s="24"/>
      <c r="E13" s="24"/>
      <c r="F13" s="24"/>
      <c r="G13" s="24"/>
      <c r="H13" s="24"/>
      <c r="I13" s="24"/>
    </row>
    <row r="14" spans="1:20" customFormat="1" ht="15" outlineLevel="1" x14ac:dyDescent="0.25">
      <c r="A14" s="2"/>
      <c r="B14" s="24" t="s">
        <v>341</v>
      </c>
      <c r="C14" s="24" t="s">
        <v>60</v>
      </c>
      <c r="D14" s="102">
        <v>308.45999999999998</v>
      </c>
      <c r="E14" s="112">
        <v>381.72</v>
      </c>
      <c r="F14" s="102">
        <v>578.66999999999996</v>
      </c>
      <c r="G14" s="102">
        <v>876.74</v>
      </c>
      <c r="H14" s="102">
        <v>774.88</v>
      </c>
      <c r="I14" s="102">
        <v>1213.19</v>
      </c>
      <c r="J14" s="102">
        <v>1264.1199999999999</v>
      </c>
      <c r="K14" s="102">
        <v>1292.27</v>
      </c>
    </row>
    <row r="15" spans="1:20" customFormat="1" ht="15" outlineLevel="1" x14ac:dyDescent="0.25">
      <c r="A15" s="9"/>
      <c r="B15" s="24" t="s">
        <v>342</v>
      </c>
      <c r="C15" s="24" t="s">
        <v>62</v>
      </c>
      <c r="D15" s="102">
        <v>0.80992500000000001</v>
      </c>
      <c r="E15" s="102">
        <v>0.92461899999999997</v>
      </c>
      <c r="F15" s="102">
        <v>1.3561510000000001</v>
      </c>
      <c r="G15" s="102">
        <v>1.813539</v>
      </c>
      <c r="H15" s="102">
        <f>H17/H8*1000*1000</f>
        <v>1.7447020281819849</v>
      </c>
      <c r="I15" s="102">
        <v>2.586462</v>
      </c>
      <c r="J15" s="102">
        <v>2.3444950000000002</v>
      </c>
      <c r="K15" s="102"/>
    </row>
    <row r="16" spans="1:20" customFormat="1" ht="15" outlineLevel="1" x14ac:dyDescent="0.25">
      <c r="A16" s="2"/>
      <c r="B16" s="24" t="s">
        <v>343</v>
      </c>
      <c r="C16" s="24" t="s">
        <v>18</v>
      </c>
      <c r="D16" s="113">
        <v>80000</v>
      </c>
      <c r="E16" s="113">
        <v>99002</v>
      </c>
      <c r="F16" s="113">
        <v>150081.88835136002</v>
      </c>
      <c r="G16" s="113">
        <v>227388</v>
      </c>
      <c r="H16" s="113">
        <v>200970</v>
      </c>
      <c r="I16" s="113">
        <v>314649</v>
      </c>
      <c r="J16" s="113">
        <v>327857.87530399999</v>
      </c>
      <c r="K16" s="113"/>
    </row>
    <row r="17" spans="1:11" customFormat="1" ht="15" outlineLevel="1" x14ac:dyDescent="0.25">
      <c r="A17" s="2"/>
      <c r="B17" s="24" t="s">
        <v>344</v>
      </c>
      <c r="C17" s="24" t="s">
        <v>61</v>
      </c>
      <c r="D17" s="102">
        <v>255.32498227671539</v>
      </c>
      <c r="E17" s="102">
        <v>247.80757529413529</v>
      </c>
      <c r="F17" s="102">
        <v>352.62773043716078</v>
      </c>
      <c r="G17" s="102">
        <v>475.327202</v>
      </c>
      <c r="H17" s="102">
        <v>452.5</v>
      </c>
      <c r="I17" s="102">
        <f>I15*I8/1000000</f>
        <v>670.81601104089611</v>
      </c>
      <c r="J17" s="102">
        <f>J15*J8/1000000</f>
        <v>608.06027067296009</v>
      </c>
      <c r="K17" s="102"/>
    </row>
    <row r="18" spans="1:11" customFormat="1" ht="23.25" x14ac:dyDescent="0.25">
      <c r="A18" s="2"/>
      <c r="B18" s="208" t="s">
        <v>345</v>
      </c>
      <c r="C18" s="26"/>
      <c r="D18" s="207" t="str">
        <f>IF(ABS(D16+'3.Cash Flow Statement'!K74)&lt;2,"ok")</f>
        <v>ok</v>
      </c>
      <c r="E18" s="207" t="str">
        <f>IF(ABS(E16+'3.Cash Flow Statement'!O74)&lt;2,"ok")</f>
        <v>ok</v>
      </c>
      <c r="F18" s="207" t="str">
        <f>IF(ABS(F16+'3.Cash Flow Statement'!S74)&lt;2,"ok")</f>
        <v>ok</v>
      </c>
      <c r="G18" s="207" t="str">
        <f>IF(ABS(G16+'3.Cash Flow Statement'!W74)&lt;2,"ok")</f>
        <v>ok</v>
      </c>
      <c r="H18" s="207" t="str">
        <f>IF(ABS(H16+'3.Cash Flow Statement'!AA74)&lt;2,"ok")</f>
        <v>ok</v>
      </c>
      <c r="I18" s="207" t="str">
        <f>IF(ABS(I16+'3.Cash Flow Statement'!AE74)&lt;2,"ok")</f>
        <v>ok</v>
      </c>
    </row>
    <row r="19" spans="1:11" customFormat="1" ht="15" x14ac:dyDescent="0.25">
      <c r="A19" s="2"/>
      <c r="B19" s="7" t="s">
        <v>92</v>
      </c>
      <c r="C19" s="8"/>
      <c r="D19" s="8"/>
      <c r="E19" s="8"/>
      <c r="F19" s="8"/>
      <c r="G19" s="8"/>
      <c r="H19" s="8"/>
      <c r="I19" s="8"/>
      <c r="J19" s="8"/>
      <c r="K19" s="8"/>
    </row>
    <row r="20" spans="1:11" customFormat="1" ht="15" outlineLevel="1" x14ac:dyDescent="0.25">
      <c r="A20" s="2"/>
      <c r="B20" s="44"/>
      <c r="C20" s="2"/>
      <c r="D20" s="2"/>
      <c r="E20" s="2"/>
      <c r="F20" s="2"/>
      <c r="G20" s="2"/>
      <c r="H20" s="2"/>
      <c r="I20" s="2"/>
    </row>
    <row r="21" spans="1:11" customFormat="1" ht="15" outlineLevel="1" x14ac:dyDescent="0.25">
      <c r="A21" s="2"/>
      <c r="B21" s="26" t="s">
        <v>63</v>
      </c>
      <c r="C21" s="24"/>
      <c r="D21" s="24"/>
      <c r="E21" s="24"/>
      <c r="F21" s="24"/>
      <c r="G21" s="24"/>
      <c r="H21" s="24"/>
      <c r="I21" s="24"/>
    </row>
    <row r="22" spans="1:11" customFormat="1" ht="15" outlineLevel="1" x14ac:dyDescent="0.25">
      <c r="A22" s="2"/>
      <c r="B22" s="24" t="s">
        <v>64</v>
      </c>
      <c r="C22" s="24" t="s">
        <v>62</v>
      </c>
      <c r="D22" s="84">
        <v>14</v>
      </c>
      <c r="E22" s="84">
        <v>15.55</v>
      </c>
      <c r="F22" s="84">
        <v>18</v>
      </c>
      <c r="G22" s="84">
        <v>48.4</v>
      </c>
      <c r="H22" s="84">
        <v>40.6</v>
      </c>
      <c r="I22" s="24">
        <v>44.45</v>
      </c>
      <c r="J22" s="84">
        <v>47.5</v>
      </c>
      <c r="K22" s="84">
        <v>61.7</v>
      </c>
    </row>
    <row r="23" spans="1:11" customFormat="1" ht="15" outlineLevel="1" x14ac:dyDescent="0.25">
      <c r="A23" s="2"/>
      <c r="B23" s="24" t="s">
        <v>65</v>
      </c>
      <c r="C23" s="24" t="s">
        <v>62</v>
      </c>
      <c r="D23" s="84">
        <v>11.6</v>
      </c>
      <c r="E23" s="84">
        <v>12.65</v>
      </c>
      <c r="F23" s="84">
        <v>11.4</v>
      </c>
      <c r="G23" s="84">
        <v>17</v>
      </c>
      <c r="H23" s="84">
        <v>23.84</v>
      </c>
      <c r="I23" s="24">
        <v>25.65</v>
      </c>
      <c r="J23" s="84">
        <v>35.6</v>
      </c>
      <c r="K23" s="84">
        <v>29.8</v>
      </c>
    </row>
    <row r="24" spans="1:11" customFormat="1" ht="15" outlineLevel="1" x14ac:dyDescent="0.25">
      <c r="A24" s="2"/>
      <c r="B24" s="24" t="s">
        <v>66</v>
      </c>
      <c r="C24" s="24" t="s">
        <v>62</v>
      </c>
      <c r="D24" s="84">
        <v>13.038</v>
      </c>
      <c r="E24" s="84">
        <v>14.202999999999999</v>
      </c>
      <c r="F24" s="84">
        <v>14.08</v>
      </c>
      <c r="G24" s="84">
        <v>30.22</v>
      </c>
      <c r="H24" s="84">
        <v>29.29</v>
      </c>
      <c r="I24" s="24">
        <v>32.020000000000003</v>
      </c>
      <c r="J24" s="221">
        <v>39.914999999999999</v>
      </c>
      <c r="K24" s="221">
        <v>43.68</v>
      </c>
    </row>
    <row r="25" spans="1:11" customFormat="1" ht="15" outlineLevel="1" x14ac:dyDescent="0.25">
      <c r="A25" s="2"/>
      <c r="B25" s="31" t="s">
        <v>67</v>
      </c>
      <c r="C25" s="31" t="s">
        <v>62</v>
      </c>
      <c r="D25" s="31">
        <v>13.612</v>
      </c>
      <c r="E25" s="85">
        <v>13</v>
      </c>
      <c r="F25" s="85">
        <v>18</v>
      </c>
      <c r="G25" s="85">
        <v>36.75</v>
      </c>
      <c r="H25" s="85">
        <v>28.14</v>
      </c>
      <c r="I25" s="85">
        <v>40.9</v>
      </c>
      <c r="J25" s="24">
        <v>37.75</v>
      </c>
      <c r="K25" s="24">
        <v>55.8</v>
      </c>
    </row>
    <row r="26" spans="1:11" customFormat="1" ht="15" outlineLevel="1" x14ac:dyDescent="0.25">
      <c r="A26" s="2"/>
      <c r="B26" s="22" t="s">
        <v>258</v>
      </c>
      <c r="C26" s="24"/>
      <c r="D26" s="26"/>
      <c r="E26" s="26"/>
      <c r="F26" s="26"/>
      <c r="G26" s="26"/>
      <c r="H26" s="26"/>
      <c r="I26" s="24"/>
      <c r="J26" s="24"/>
      <c r="K26" s="24"/>
    </row>
    <row r="27" spans="1:11" customFormat="1" ht="15" x14ac:dyDescent="0.25">
      <c r="A27" s="2"/>
      <c r="B27" s="22"/>
      <c r="C27" s="24"/>
      <c r="D27" s="26"/>
      <c r="E27" s="26"/>
      <c r="F27" s="26"/>
      <c r="G27" s="26"/>
      <c r="H27" s="26"/>
      <c r="I27" s="26"/>
    </row>
  </sheetData>
  <pageMargins left="0.7" right="0.7" top="0.75" bottom="0.75" header="0.3" footer="0.3"/>
  <pageSetup paperSize="9" scale="35"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AR72"/>
  <sheetViews>
    <sheetView showGridLines="0" view="pageBreakPreview" zoomScaleNormal="100" zoomScaleSheetLayoutView="100" workbookViewId="0">
      <pane xSplit="4" ySplit="2" topLeftCell="E3" activePane="bottomRight" state="frozen"/>
      <selection pane="topRight" activeCell="E1" sqref="E1"/>
      <selection pane="bottomLeft" activeCell="A3" sqref="A3"/>
      <selection pane="bottomRight" activeCell="AN6" sqref="AN6"/>
    </sheetView>
  </sheetViews>
  <sheetFormatPr defaultColWidth="9.42578125" defaultRowHeight="12.75" outlineLevelRow="1" x14ac:dyDescent="0.2"/>
  <cols>
    <col min="1" max="1" width="4" style="2" customWidth="1"/>
    <col min="2" max="2" width="65.5703125" style="2" customWidth="1"/>
    <col min="3" max="3" width="11.5703125" style="2" customWidth="1"/>
    <col min="4" max="4" width="17.42578125" style="2" customWidth="1"/>
    <col min="5" max="7" width="12.5703125" style="2" hidden="1" customWidth="1"/>
    <col min="8" max="8" width="12.5703125" style="9" customWidth="1"/>
    <col min="9" max="11" width="12.5703125" style="2" hidden="1" customWidth="1"/>
    <col min="12" max="12" width="12.5703125" style="9" customWidth="1"/>
    <col min="13" max="15" width="12.5703125" style="2" hidden="1" customWidth="1"/>
    <col min="16" max="16" width="12.5703125" style="9" customWidth="1"/>
    <col min="17" max="19" width="12.5703125" style="2" hidden="1" customWidth="1"/>
    <col min="20" max="20" width="12.5703125" style="9" customWidth="1"/>
    <col min="21" max="23" width="12.5703125" style="2" hidden="1" customWidth="1"/>
    <col min="24" max="24" width="12.5703125" style="9" customWidth="1"/>
    <col min="25" max="25" width="13.5703125" style="2" hidden="1" customWidth="1"/>
    <col min="26" max="26" width="0" style="2" hidden="1" customWidth="1"/>
    <col min="27" max="27" width="15.5703125" style="2" hidden="1" customWidth="1"/>
    <col min="28" max="28" width="15.7109375" style="2" customWidth="1"/>
    <col min="29" max="29" width="15.140625" style="2" hidden="1" customWidth="1"/>
    <col min="30" max="30" width="12.5703125" style="2" hidden="1" customWidth="1"/>
    <col min="31" max="31" width="13.140625" style="2" hidden="1" customWidth="1"/>
    <col min="32" max="32" width="12.5703125" style="2" customWidth="1"/>
    <col min="33" max="35" width="13.140625" style="2" hidden="1" customWidth="1"/>
    <col min="36" max="36" width="13.140625" style="2" customWidth="1"/>
    <col min="37" max="37" width="17.7109375" style="2" customWidth="1"/>
    <col min="38" max="16384" width="9.42578125" style="2"/>
  </cols>
  <sheetData>
    <row r="1" spans="2:37" x14ac:dyDescent="0.2">
      <c r="B1" s="3"/>
      <c r="C1" s="3"/>
      <c r="D1" s="3"/>
      <c r="E1" s="171" t="s">
        <v>236</v>
      </c>
      <c r="F1" s="172" t="s">
        <v>237</v>
      </c>
      <c r="G1" s="172" t="s">
        <v>107</v>
      </c>
      <c r="H1" s="171">
        <v>2018</v>
      </c>
      <c r="I1" s="173" t="s">
        <v>238</v>
      </c>
      <c r="J1" s="173" t="s">
        <v>226</v>
      </c>
      <c r="K1" s="173" t="s">
        <v>239</v>
      </c>
      <c r="L1" s="173">
        <v>2019</v>
      </c>
      <c r="M1" s="173" t="s">
        <v>240</v>
      </c>
      <c r="N1" s="173" t="s">
        <v>224</v>
      </c>
      <c r="O1" s="173" t="s">
        <v>241</v>
      </c>
      <c r="P1" s="173">
        <v>2020</v>
      </c>
      <c r="Q1" s="173" t="s">
        <v>242</v>
      </c>
      <c r="R1" s="173" t="s">
        <v>225</v>
      </c>
      <c r="S1" s="173" t="s">
        <v>243</v>
      </c>
      <c r="T1" s="173">
        <v>2021</v>
      </c>
      <c r="U1" s="173" t="s">
        <v>227</v>
      </c>
      <c r="V1" s="173" t="s">
        <v>273</v>
      </c>
      <c r="W1" s="173" t="s">
        <v>295</v>
      </c>
      <c r="X1" s="173">
        <v>2022</v>
      </c>
      <c r="Y1" s="173" t="s">
        <v>320</v>
      </c>
      <c r="Z1" s="173" t="s">
        <v>321</v>
      </c>
      <c r="AA1" s="173" t="s">
        <v>323</v>
      </c>
      <c r="AB1" s="173">
        <v>2023</v>
      </c>
      <c r="AC1" s="173" t="s">
        <v>332</v>
      </c>
      <c r="AD1" s="173" t="s">
        <v>336</v>
      </c>
      <c r="AE1" s="173" t="s">
        <v>338</v>
      </c>
      <c r="AF1" s="173">
        <v>2024</v>
      </c>
      <c r="AG1" s="173" t="s">
        <v>347</v>
      </c>
      <c r="AH1" s="173" t="s">
        <v>352</v>
      </c>
      <c r="AI1" s="173" t="s">
        <v>361</v>
      </c>
      <c r="AJ1" s="173">
        <v>2025</v>
      </c>
      <c r="AK1" s="173" t="s">
        <v>368</v>
      </c>
    </row>
    <row r="2" spans="2:37" x14ac:dyDescent="0.2">
      <c r="E2" s="14"/>
      <c r="F2" s="14"/>
      <c r="G2" s="14"/>
      <c r="H2" s="15"/>
      <c r="I2" s="14"/>
      <c r="J2" s="14"/>
      <c r="K2" s="14"/>
      <c r="L2" s="15"/>
      <c r="M2" s="14"/>
      <c r="N2" s="14"/>
      <c r="O2" s="14"/>
      <c r="P2" s="15"/>
      <c r="Q2" s="14"/>
      <c r="R2" s="14"/>
    </row>
    <row r="3" spans="2:37" x14ac:dyDescent="0.2">
      <c r="B3" s="7" t="s">
        <v>75</v>
      </c>
      <c r="C3" s="7"/>
      <c r="D3" s="7"/>
      <c r="E3" s="4"/>
      <c r="F3" s="4"/>
      <c r="G3" s="4"/>
      <c r="H3" s="5"/>
      <c r="I3" s="4"/>
      <c r="J3" s="4"/>
      <c r="K3" s="4"/>
      <c r="L3" s="5"/>
      <c r="M3" s="4"/>
      <c r="N3" s="4"/>
      <c r="O3" s="4"/>
      <c r="P3" s="5"/>
      <c r="Q3" s="4"/>
      <c r="R3" s="4"/>
      <c r="S3" s="4"/>
      <c r="T3" s="5"/>
      <c r="U3" s="5"/>
      <c r="V3" s="5"/>
      <c r="W3" s="5"/>
      <c r="X3" s="5"/>
      <c r="Y3" s="5"/>
      <c r="Z3" s="5"/>
      <c r="AA3" s="5"/>
      <c r="AB3" s="5"/>
      <c r="AC3" s="5"/>
      <c r="AD3" s="5"/>
      <c r="AE3" s="5"/>
      <c r="AF3" s="5"/>
      <c r="AG3" s="5"/>
      <c r="AH3" s="5"/>
      <c r="AI3" s="5"/>
      <c r="AJ3" s="5"/>
      <c r="AK3" s="5"/>
    </row>
    <row r="4" spans="2:37" x14ac:dyDescent="0.2">
      <c r="E4" s="75"/>
    </row>
    <row r="5" spans="2:37" x14ac:dyDescent="0.2">
      <c r="B5" s="2" t="s">
        <v>99</v>
      </c>
      <c r="D5" s="2" t="s">
        <v>168</v>
      </c>
      <c r="E5" s="1" t="s">
        <v>194</v>
      </c>
      <c r="F5" s="2">
        <v>23.64</v>
      </c>
      <c r="G5" s="1" t="s">
        <v>194</v>
      </c>
      <c r="H5" s="9">
        <v>24.46</v>
      </c>
      <c r="I5" s="1" t="s">
        <v>194</v>
      </c>
      <c r="J5" s="2">
        <v>26.99</v>
      </c>
      <c r="K5" s="1" t="s">
        <v>194</v>
      </c>
      <c r="L5" s="9">
        <v>26.6</v>
      </c>
      <c r="M5" s="1" t="s">
        <v>194</v>
      </c>
      <c r="N5" s="2">
        <v>27.81</v>
      </c>
      <c r="O5" s="1" t="s">
        <v>194</v>
      </c>
      <c r="P5" s="9">
        <v>29.54</v>
      </c>
      <c r="Q5" s="1" t="s">
        <v>194</v>
      </c>
      <c r="R5" s="2">
        <v>29.63</v>
      </c>
      <c r="S5" s="1">
        <v>30.27</v>
      </c>
      <c r="T5" s="9">
        <v>33.11</v>
      </c>
      <c r="U5" s="125">
        <v>39.36</v>
      </c>
      <c r="V5" s="125">
        <v>40.880000000000003</v>
      </c>
      <c r="W5" s="125">
        <v>42.6</v>
      </c>
      <c r="X5" s="9">
        <v>43.44</v>
      </c>
      <c r="Y5" s="2">
        <v>46.75</v>
      </c>
      <c r="Z5" s="2">
        <f>'1.Income Statement'!Y5</f>
        <v>47.04</v>
      </c>
      <c r="AA5" s="2">
        <v>48.3</v>
      </c>
      <c r="AB5" s="182">
        <v>55.09</v>
      </c>
      <c r="AC5" s="182">
        <v>62.53</v>
      </c>
      <c r="AD5" s="24">
        <v>66.19</v>
      </c>
      <c r="AE5" s="24">
        <f>'1.Income Statement'!AD5</f>
        <v>66.81</v>
      </c>
      <c r="AF5" s="24">
        <f>'1.Income Statement'!AE5</f>
        <v>69.48</v>
      </c>
      <c r="AG5" s="209">
        <f>'1.Income Statement'!AF5</f>
        <v>54.71</v>
      </c>
      <c r="AH5" s="209">
        <f>'1.Income Statement'!AG5</f>
        <v>58.54</v>
      </c>
      <c r="AI5" s="209">
        <f>'1.Income Statement'!AH5</f>
        <v>62.97</v>
      </c>
      <c r="AJ5" s="24">
        <f>'1.Income Statement'!AI5</f>
        <v>65.319999999999993</v>
      </c>
      <c r="AK5" s="209">
        <v>61.33</v>
      </c>
    </row>
    <row r="6" spans="2:37" ht="12.75" customHeight="1" outlineLevel="1" x14ac:dyDescent="0.2">
      <c r="B6" s="2" t="s">
        <v>249</v>
      </c>
      <c r="D6" s="2" t="s">
        <v>168</v>
      </c>
      <c r="E6" s="125">
        <v>23.1</v>
      </c>
      <c r="F6" s="75">
        <v>24.29</v>
      </c>
      <c r="G6" s="75">
        <v>21.11</v>
      </c>
      <c r="H6" s="149">
        <v>24.37</v>
      </c>
      <c r="I6" s="75">
        <v>26.78</v>
      </c>
      <c r="J6" s="2">
        <v>27.43</v>
      </c>
      <c r="K6" s="75">
        <v>27.59</v>
      </c>
      <c r="L6" s="149">
        <v>26.89</v>
      </c>
      <c r="M6" s="125">
        <v>26.43</v>
      </c>
      <c r="N6" s="125">
        <v>27.86</v>
      </c>
      <c r="O6" s="125">
        <v>29.58</v>
      </c>
      <c r="P6" s="134">
        <v>29.63</v>
      </c>
      <c r="Q6" s="125">
        <v>29.71</v>
      </c>
      <c r="R6" s="125">
        <v>29.63</v>
      </c>
      <c r="S6" s="125">
        <v>29.99</v>
      </c>
      <c r="T6" s="134">
        <v>32.33</v>
      </c>
      <c r="U6" s="125">
        <v>37.74</v>
      </c>
      <c r="V6" s="125">
        <v>39.700000000000003</v>
      </c>
      <c r="W6" s="125">
        <v>41.98</v>
      </c>
      <c r="X6" s="134">
        <v>42.5</v>
      </c>
      <c r="Y6" s="2">
        <v>46.75</v>
      </c>
      <c r="Z6" s="2">
        <f>'1.Income Statement'!Y6</f>
        <v>46.63</v>
      </c>
      <c r="AA6" s="2">
        <v>47.81</v>
      </c>
      <c r="AB6" s="190">
        <v>52.1</v>
      </c>
      <c r="AC6" s="190">
        <v>56.15</v>
      </c>
      <c r="AD6" s="84">
        <v>62.47</v>
      </c>
      <c r="AE6" s="84">
        <f>'1.Income Statement'!AD6</f>
        <v>63.46</v>
      </c>
      <c r="AF6" s="84">
        <f>'1.Income Statement'!AE6</f>
        <v>65.78</v>
      </c>
      <c r="AG6" s="211">
        <f>'1.Income Statement'!AF6</f>
        <v>54.69</v>
      </c>
      <c r="AH6" s="211">
        <f>'1.Income Statement'!AG6</f>
        <v>57.27</v>
      </c>
      <c r="AI6" s="211">
        <f>'1.Income Statement'!AH6</f>
        <v>61.37</v>
      </c>
      <c r="AJ6" s="84">
        <f>'1.Income Statement'!AI6</f>
        <v>62.33</v>
      </c>
      <c r="AK6" s="84">
        <v>61.33</v>
      </c>
    </row>
    <row r="7" spans="2:37" ht="12.75" customHeight="1" outlineLevel="1" x14ac:dyDescent="0.2">
      <c r="B7" s="2" t="s">
        <v>206</v>
      </c>
      <c r="D7" s="2" t="s">
        <v>168</v>
      </c>
      <c r="E7" s="75">
        <v>21.43</v>
      </c>
      <c r="F7" s="75">
        <v>22.13</v>
      </c>
      <c r="G7" s="75">
        <v>26.53</v>
      </c>
      <c r="H7" s="149">
        <v>24.59</v>
      </c>
      <c r="I7" s="75">
        <v>27.41</v>
      </c>
      <c r="J7" s="2">
        <v>24.62</v>
      </c>
      <c r="K7" s="75">
        <v>25.83</v>
      </c>
      <c r="L7" s="149">
        <v>25.64</v>
      </c>
      <c r="M7" s="125">
        <v>25.59</v>
      </c>
      <c r="N7" s="125">
        <v>29.46</v>
      </c>
      <c r="O7" s="125">
        <v>30</v>
      </c>
      <c r="P7" s="134">
        <v>29.96</v>
      </c>
      <c r="Q7" s="125">
        <v>29.12</v>
      </c>
      <c r="R7" s="125">
        <v>30.18</v>
      </c>
      <c r="S7" s="125">
        <v>31.96</v>
      </c>
      <c r="T7" s="134">
        <v>35.28</v>
      </c>
      <c r="U7" s="125">
        <v>50.01</v>
      </c>
      <c r="V7" s="125">
        <v>50.09</v>
      </c>
      <c r="W7" s="125">
        <v>49.77</v>
      </c>
      <c r="X7" s="134">
        <v>49.81</v>
      </c>
      <c r="Y7" s="2">
        <v>50.68</v>
      </c>
      <c r="Z7" s="2">
        <f>'1.Income Statement'!Y7</f>
        <v>52.6</v>
      </c>
      <c r="AA7" s="2">
        <v>55.94</v>
      </c>
      <c r="AB7" s="182">
        <v>62.51</v>
      </c>
      <c r="AC7" s="182">
        <v>94.33</v>
      </c>
      <c r="AD7" s="182">
        <v>91.1</v>
      </c>
      <c r="AE7" s="182">
        <f>'1.Income Statement'!AD7</f>
        <v>87.93</v>
      </c>
      <c r="AF7" s="182">
        <f>'1.Income Statement'!AE7</f>
        <v>85.14</v>
      </c>
      <c r="AG7" s="212">
        <f>'1.Income Statement'!AF7</f>
        <v>66.180000000000007</v>
      </c>
      <c r="AH7" s="212">
        <f>'1.Income Statement'!AG7</f>
        <v>69.38</v>
      </c>
      <c r="AI7" s="212">
        <f>'1.Income Statement'!AH7</f>
        <v>71.680000000000007</v>
      </c>
      <c r="AJ7" s="182">
        <f>'1.Income Statement'!AI7</f>
        <v>73.540000000000006</v>
      </c>
      <c r="AK7" s="24">
        <v>88.49</v>
      </c>
    </row>
    <row r="8" spans="2:37" ht="12.6" customHeight="1" outlineLevel="1" x14ac:dyDescent="0.2">
      <c r="B8" s="2" t="s">
        <v>305</v>
      </c>
      <c r="D8" s="2" t="s">
        <v>168</v>
      </c>
      <c r="E8" s="125"/>
      <c r="F8" s="1" t="s">
        <v>194</v>
      </c>
      <c r="G8" s="125"/>
      <c r="H8" s="134">
        <v>24.64</v>
      </c>
      <c r="I8" s="125"/>
      <c r="J8" s="125">
        <v>26.47</v>
      </c>
      <c r="K8" s="125"/>
      <c r="L8" s="134">
        <v>25.84</v>
      </c>
      <c r="M8" s="125"/>
      <c r="N8" s="125">
        <v>28.66</v>
      </c>
      <c r="O8" s="125"/>
      <c r="P8" s="134">
        <v>29.6</v>
      </c>
      <c r="Q8" s="125"/>
      <c r="R8" s="125" t="s">
        <v>306</v>
      </c>
      <c r="S8" s="125"/>
      <c r="T8" s="134">
        <v>35.049999999999997</v>
      </c>
      <c r="U8" s="125"/>
      <c r="V8" s="125">
        <v>50.31</v>
      </c>
      <c r="W8" s="125"/>
      <c r="X8" s="134">
        <v>49.61</v>
      </c>
      <c r="Z8" s="2">
        <f>'1.Income Statement'!Y8</f>
        <v>52.16</v>
      </c>
      <c r="AB8" s="182">
        <v>60.53</v>
      </c>
      <c r="AC8" s="182"/>
      <c r="AD8" s="24">
        <v>92.62</v>
      </c>
      <c r="AE8" s="24"/>
      <c r="AF8" s="24">
        <f>'1.Income Statement'!AE8</f>
        <v>86.28</v>
      </c>
      <c r="AG8" s="212"/>
      <c r="AH8" s="212">
        <f>'1.Income Statement'!AG8</f>
        <v>69.11</v>
      </c>
      <c r="AI8" s="212"/>
      <c r="AJ8" s="24">
        <f>'1.Income Statement'!AI8</f>
        <v>72.75</v>
      </c>
      <c r="AK8" s="24"/>
    </row>
    <row r="9" spans="2:37" ht="12.75" customHeight="1" outlineLevel="1" x14ac:dyDescent="0.2">
      <c r="B9" s="2" t="s">
        <v>73</v>
      </c>
      <c r="D9" s="2" t="s">
        <v>248</v>
      </c>
      <c r="E9" s="75">
        <v>323.31</v>
      </c>
      <c r="F9" s="75">
        <v>326.49</v>
      </c>
      <c r="G9" s="75">
        <v>336.4</v>
      </c>
      <c r="H9" s="149">
        <v>344.9</v>
      </c>
      <c r="I9" s="75">
        <v>378.09</v>
      </c>
      <c r="J9" s="75">
        <v>379.31</v>
      </c>
      <c r="K9" s="75">
        <v>381.51</v>
      </c>
      <c r="L9" s="134">
        <v>382.87</v>
      </c>
      <c r="M9" s="125">
        <v>391.01</v>
      </c>
      <c r="N9" s="125">
        <v>404.59</v>
      </c>
      <c r="O9" s="125">
        <v>409.05</v>
      </c>
      <c r="P9" s="134">
        <v>413.36</v>
      </c>
      <c r="Q9" s="125">
        <v>419.89</v>
      </c>
      <c r="R9" s="125">
        <v>424.18</v>
      </c>
      <c r="S9" s="125">
        <v>424.69</v>
      </c>
      <c r="T9" s="134">
        <v>426.03</v>
      </c>
      <c r="U9" s="125">
        <v>457.02</v>
      </c>
      <c r="V9" s="125">
        <v>449.85</v>
      </c>
      <c r="W9" s="125">
        <v>458.44</v>
      </c>
      <c r="X9" s="134">
        <v>460.48</v>
      </c>
      <c r="Y9" s="2">
        <v>454.94</v>
      </c>
      <c r="Z9" s="2">
        <f>'1.Income Statement'!Y9</f>
        <v>451.86</v>
      </c>
      <c r="AA9" s="2">
        <v>452.93</v>
      </c>
      <c r="AB9" s="183">
        <v>456.1</v>
      </c>
      <c r="AC9" s="183">
        <v>450.27</v>
      </c>
      <c r="AD9" s="183">
        <f>'1.Income Statement'!AC9</f>
        <v>449</v>
      </c>
      <c r="AE9" s="183">
        <f>'1.Income Statement'!AD9</f>
        <v>458.69</v>
      </c>
      <c r="AF9" s="183">
        <f>'1.Income Statement'!AE9</f>
        <v>469.11</v>
      </c>
      <c r="AG9" s="210">
        <f>'1.Income Statement'!AF9</f>
        <v>510.28</v>
      </c>
      <c r="AH9" s="210">
        <f>'1.Income Statement'!AG9</f>
        <v>512.08000000000004</v>
      </c>
      <c r="AI9" s="210">
        <f>'1.Income Statement'!AH9</f>
        <v>520.21</v>
      </c>
      <c r="AJ9" s="183">
        <f>'1.Income Statement'!AI9</f>
        <v>521.37</v>
      </c>
      <c r="AK9" s="125">
        <v>497.39</v>
      </c>
    </row>
    <row r="10" spans="2:37" ht="12.75" customHeight="1" outlineLevel="1" x14ac:dyDescent="0.2">
      <c r="B10" s="6" t="s">
        <v>72</v>
      </c>
      <c r="C10" s="6"/>
      <c r="D10" s="6" t="s">
        <v>248</v>
      </c>
      <c r="E10" s="6">
        <v>318.31</v>
      </c>
      <c r="F10" s="6">
        <v>341.08</v>
      </c>
      <c r="G10" s="6">
        <v>363.07</v>
      </c>
      <c r="H10" s="20">
        <v>384.2</v>
      </c>
      <c r="I10" s="150">
        <v>380.04</v>
      </c>
      <c r="J10" s="150">
        <v>380.53</v>
      </c>
      <c r="K10" s="150">
        <v>387.63</v>
      </c>
      <c r="L10" s="151">
        <v>381.18</v>
      </c>
      <c r="M10" s="148">
        <v>448.01</v>
      </c>
      <c r="N10" s="148">
        <v>403.83</v>
      </c>
      <c r="O10" s="148">
        <v>429.51</v>
      </c>
      <c r="P10" s="152">
        <v>420.71</v>
      </c>
      <c r="Q10" s="148">
        <v>424.34</v>
      </c>
      <c r="R10" s="153">
        <v>427.79</v>
      </c>
      <c r="S10" s="148">
        <v>425.67</v>
      </c>
      <c r="T10" s="152">
        <v>431.67</v>
      </c>
      <c r="U10" s="148">
        <v>458.2</v>
      </c>
      <c r="V10" s="148">
        <v>465.08</v>
      </c>
      <c r="W10" s="148">
        <v>476.89</v>
      </c>
      <c r="X10" s="152">
        <v>462.65</v>
      </c>
      <c r="Y10" s="6">
        <v>448.05</v>
      </c>
      <c r="Z10" s="6">
        <f>'1.Income Statement'!Y10</f>
        <v>454.13</v>
      </c>
      <c r="AA10" s="6">
        <v>474.47</v>
      </c>
      <c r="AB10" s="191" t="s">
        <v>324</v>
      </c>
      <c r="AC10" s="191">
        <v>446.78</v>
      </c>
      <c r="AD10" s="150">
        <v>471.46</v>
      </c>
      <c r="AE10" s="150">
        <f>'1.Income Statement'!AD10</f>
        <v>479.23</v>
      </c>
      <c r="AF10" s="150">
        <f>'1.Income Statement'!AE10</f>
        <v>523.54</v>
      </c>
      <c r="AG10" s="150">
        <f>'1.Income Statement'!AF10</f>
        <v>504.44</v>
      </c>
      <c r="AH10" s="150">
        <f>'1.Income Statement'!AG10</f>
        <v>520.39</v>
      </c>
      <c r="AI10" s="150">
        <f>'1.Income Statement'!AH10</f>
        <v>548.79</v>
      </c>
      <c r="AJ10" s="150">
        <f>'1.Income Statement'!AI10</f>
        <v>502.57</v>
      </c>
      <c r="AK10" s="150">
        <f>'1.Income Statement'!AJ10</f>
        <v>481.54</v>
      </c>
    </row>
    <row r="11" spans="2:37" x14ac:dyDescent="0.2">
      <c r="B11" s="124" t="s">
        <v>302</v>
      </c>
      <c r="C11" s="124"/>
      <c r="D11" s="68"/>
      <c r="E11" s="79"/>
      <c r="F11" s="79"/>
      <c r="G11" s="79"/>
      <c r="H11" s="101"/>
      <c r="I11" s="79"/>
      <c r="J11" s="79"/>
      <c r="K11" s="79"/>
      <c r="L11" s="101"/>
      <c r="M11" s="79"/>
      <c r="N11" s="79"/>
      <c r="O11" s="79"/>
      <c r="P11" s="101"/>
      <c r="Q11" s="79"/>
      <c r="R11" s="79"/>
      <c r="S11" s="79"/>
      <c r="T11" s="101"/>
      <c r="U11" s="79"/>
      <c r="V11" s="79"/>
      <c r="W11" s="79"/>
      <c r="X11" s="101"/>
      <c r="AB11" s="178"/>
      <c r="AC11" s="178"/>
    </row>
    <row r="12" spans="2:37" x14ac:dyDescent="0.2">
      <c r="B12" s="7" t="s">
        <v>265</v>
      </c>
      <c r="C12" s="7"/>
      <c r="D12" s="8"/>
      <c r="E12" s="8"/>
      <c r="F12" s="4"/>
      <c r="G12" s="8"/>
      <c r="H12" s="5"/>
      <c r="I12" s="5"/>
      <c r="J12" s="4"/>
      <c r="K12" s="8"/>
      <c r="L12" s="5"/>
      <c r="M12" s="8"/>
      <c r="N12" s="4"/>
      <c r="O12" s="8"/>
      <c r="P12" s="5"/>
      <c r="Q12" s="8"/>
      <c r="R12" s="4"/>
      <c r="S12" s="8"/>
      <c r="T12" s="5"/>
      <c r="U12" s="5"/>
      <c r="V12" s="5"/>
      <c r="W12" s="5"/>
      <c r="X12" s="5"/>
      <c r="Y12" s="5"/>
      <c r="Z12" s="5"/>
      <c r="AA12" s="5"/>
      <c r="AB12" s="5"/>
      <c r="AC12" s="5"/>
      <c r="AD12" s="5"/>
      <c r="AE12" s="5"/>
      <c r="AF12" s="5"/>
      <c r="AG12" s="5"/>
      <c r="AH12" s="5"/>
      <c r="AI12" s="5"/>
      <c r="AJ12" s="5"/>
      <c r="AK12" s="5"/>
    </row>
    <row r="13" spans="2:37" x14ac:dyDescent="0.2">
      <c r="B13" s="1"/>
      <c r="C13" s="1"/>
    </row>
    <row r="14" spans="2:37" ht="12.75" customHeight="1" outlineLevel="1" x14ac:dyDescent="0.2">
      <c r="B14" s="9" t="s">
        <v>228</v>
      </c>
      <c r="C14" s="9"/>
    </row>
    <row r="15" spans="2:37" ht="12.75" hidden="1" customHeight="1" outlineLevel="1" x14ac:dyDescent="0.2">
      <c r="B15" s="2" t="s">
        <v>170</v>
      </c>
      <c r="D15" s="127" t="s">
        <v>171</v>
      </c>
      <c r="H15" s="9">
        <v>305.60000000000002</v>
      </c>
      <c r="L15" s="9">
        <v>292.7</v>
      </c>
      <c r="P15" s="9">
        <v>281.10000000000002</v>
      </c>
      <c r="T15" s="9">
        <v>350.8</v>
      </c>
    </row>
    <row r="16" spans="2:37" ht="12.75" customHeight="1" outlineLevel="1" x14ac:dyDescent="0.2">
      <c r="B16" s="2" t="s">
        <v>260</v>
      </c>
      <c r="D16" s="2" t="s">
        <v>172</v>
      </c>
      <c r="E16" s="126">
        <v>5518</v>
      </c>
      <c r="F16" s="126">
        <v>10905</v>
      </c>
      <c r="G16" s="126">
        <v>15945</v>
      </c>
      <c r="H16" s="77">
        <v>21705</v>
      </c>
      <c r="I16" s="126">
        <v>5294</v>
      </c>
      <c r="J16" s="126">
        <v>10800</v>
      </c>
      <c r="K16" s="126">
        <v>16882</v>
      </c>
      <c r="L16" s="77">
        <v>22808</v>
      </c>
      <c r="M16" s="126">
        <v>5221</v>
      </c>
      <c r="N16" s="126">
        <v>10434</v>
      </c>
      <c r="O16" s="126">
        <v>15091</v>
      </c>
      <c r="P16" s="77">
        <v>19477</v>
      </c>
      <c r="Q16" s="126">
        <v>4925</v>
      </c>
      <c r="R16" s="126">
        <v>10451</v>
      </c>
      <c r="S16" s="126">
        <v>15960</v>
      </c>
      <c r="T16" s="77">
        <v>21819</v>
      </c>
      <c r="U16" s="126">
        <v>4954</v>
      </c>
      <c r="V16" s="126">
        <v>10070</v>
      </c>
      <c r="W16" s="126">
        <v>15446</v>
      </c>
      <c r="X16" s="77">
        <v>21227</v>
      </c>
      <c r="Y16" s="2">
        <v>4744</v>
      </c>
      <c r="Z16" s="126">
        <v>10225</v>
      </c>
      <c r="AA16" s="126">
        <v>15317</v>
      </c>
      <c r="AB16" s="77">
        <v>21112</v>
      </c>
      <c r="AC16" s="126">
        <v>5077</v>
      </c>
      <c r="AD16" s="126">
        <v>10857</v>
      </c>
      <c r="AE16" s="126">
        <v>16751</v>
      </c>
      <c r="AF16" s="77">
        <v>23270</v>
      </c>
      <c r="AG16" s="126">
        <v>5633</v>
      </c>
      <c r="AH16" s="126">
        <v>12242</v>
      </c>
      <c r="AI16" s="126">
        <v>18709</v>
      </c>
      <c r="AJ16" s="77">
        <v>25839</v>
      </c>
      <c r="AK16" s="54">
        <v>6144</v>
      </c>
    </row>
    <row r="17" spans="2:37" ht="12.75" customHeight="1" outlineLevel="1" x14ac:dyDescent="0.2">
      <c r="B17" s="2" t="s">
        <v>261</v>
      </c>
      <c r="D17" s="2" t="s">
        <v>172</v>
      </c>
      <c r="E17" s="126">
        <v>2911</v>
      </c>
      <c r="F17" s="126">
        <v>5771</v>
      </c>
      <c r="G17" s="126">
        <v>8553</v>
      </c>
      <c r="H17" s="77">
        <v>11476</v>
      </c>
      <c r="I17" s="126">
        <v>3063</v>
      </c>
      <c r="J17" s="126">
        <v>6226</v>
      </c>
      <c r="K17" s="126">
        <v>9844</v>
      </c>
      <c r="L17" s="77">
        <v>13291</v>
      </c>
      <c r="M17" s="126">
        <v>2981</v>
      </c>
      <c r="N17" s="126">
        <v>5790</v>
      </c>
      <c r="O17" s="126">
        <v>8309</v>
      </c>
      <c r="P17" s="77">
        <v>10736</v>
      </c>
      <c r="Q17" s="126">
        <v>2791</v>
      </c>
      <c r="R17" s="126">
        <v>5864</v>
      </c>
      <c r="S17" s="126">
        <v>8792</v>
      </c>
      <c r="T17" s="77">
        <v>11858</v>
      </c>
      <c r="U17" s="126">
        <v>2685</v>
      </c>
      <c r="V17" s="126">
        <v>5414</v>
      </c>
      <c r="W17" s="126">
        <v>8309</v>
      </c>
      <c r="X17" s="77">
        <v>11373</v>
      </c>
      <c r="Y17" s="2">
        <v>2517</v>
      </c>
      <c r="Z17" s="126">
        <v>5411</v>
      </c>
      <c r="AA17" s="126">
        <v>8102</v>
      </c>
      <c r="AB17" s="77">
        <v>11169</v>
      </c>
      <c r="AC17" s="126">
        <v>2724</v>
      </c>
      <c r="AD17" s="126">
        <v>5797</v>
      </c>
      <c r="AE17" s="126">
        <v>8908</v>
      </c>
      <c r="AF17" s="77">
        <v>12286</v>
      </c>
      <c r="AG17" s="126">
        <v>2963</v>
      </c>
      <c r="AH17" s="126">
        <v>6431</v>
      </c>
      <c r="AI17" s="126">
        <v>9806</v>
      </c>
      <c r="AJ17" s="77">
        <v>13519</v>
      </c>
      <c r="AK17" s="54">
        <v>3247</v>
      </c>
    </row>
    <row r="18" spans="2:37" ht="12.6" customHeight="1" outlineLevel="1" x14ac:dyDescent="0.2">
      <c r="B18" s="24" t="s">
        <v>259</v>
      </c>
      <c r="C18" s="24"/>
      <c r="D18" s="2" t="s">
        <v>172</v>
      </c>
      <c r="E18" s="1" t="s">
        <v>194</v>
      </c>
      <c r="F18" s="126">
        <v>2274</v>
      </c>
      <c r="G18" s="1" t="s">
        <v>194</v>
      </c>
      <c r="H18" s="77">
        <f>3022+1647</f>
        <v>4669</v>
      </c>
      <c r="I18" s="1" t="s">
        <v>194</v>
      </c>
      <c r="J18" s="126">
        <v>586</v>
      </c>
      <c r="K18" s="1" t="s">
        <v>194</v>
      </c>
      <c r="L18" s="77">
        <v>3050</v>
      </c>
      <c r="M18" s="1" t="s">
        <v>194</v>
      </c>
      <c r="N18" s="126">
        <v>608</v>
      </c>
      <c r="O18" s="1" t="s">
        <v>194</v>
      </c>
      <c r="P18" s="77">
        <v>2676</v>
      </c>
      <c r="Q18" s="1" t="s">
        <v>194</v>
      </c>
      <c r="R18" s="126">
        <v>1229</v>
      </c>
      <c r="S18" s="1" t="s">
        <v>194</v>
      </c>
      <c r="T18" s="77">
        <v>2910</v>
      </c>
      <c r="U18" s="1" t="s">
        <v>194</v>
      </c>
      <c r="V18" s="126">
        <v>1401</v>
      </c>
      <c r="W18" s="1" t="s">
        <v>194</v>
      </c>
      <c r="X18" s="77">
        <v>2805</v>
      </c>
      <c r="Y18" s="75" t="s">
        <v>194</v>
      </c>
      <c r="Z18" s="176">
        <v>1110</v>
      </c>
      <c r="AA18" s="176" t="s">
        <v>194</v>
      </c>
      <c r="AB18" s="77">
        <v>2703</v>
      </c>
      <c r="AC18" s="176" t="s">
        <v>194</v>
      </c>
      <c r="AD18" s="176">
        <v>1208</v>
      </c>
      <c r="AE18" s="176" t="s">
        <v>194</v>
      </c>
      <c r="AF18" s="204">
        <v>2738</v>
      </c>
      <c r="AG18" s="176" t="s">
        <v>194</v>
      </c>
      <c r="AH18" s="176">
        <v>1552</v>
      </c>
      <c r="AI18" s="176" t="s">
        <v>194</v>
      </c>
      <c r="AJ18" s="204">
        <v>3375</v>
      </c>
      <c r="AK18" s="176" t="s">
        <v>194</v>
      </c>
    </row>
    <row r="19" spans="2:37" ht="12.75" customHeight="1" outlineLevel="1" x14ac:dyDescent="0.2">
      <c r="B19" s="24" t="s">
        <v>262</v>
      </c>
      <c r="C19" s="24"/>
      <c r="D19" s="2" t="s">
        <v>172</v>
      </c>
      <c r="E19" s="1" t="s">
        <v>194</v>
      </c>
      <c r="F19" s="1" t="s">
        <v>194</v>
      </c>
      <c r="G19" s="1" t="s">
        <v>194</v>
      </c>
      <c r="H19" s="77">
        <v>7254</v>
      </c>
      <c r="I19" s="1" t="s">
        <v>194</v>
      </c>
      <c r="J19" s="126">
        <v>3755</v>
      </c>
      <c r="K19" s="1" t="s">
        <v>194</v>
      </c>
      <c r="L19" s="77">
        <v>11010</v>
      </c>
      <c r="M19" s="1" t="s">
        <v>194</v>
      </c>
      <c r="N19" s="126">
        <v>3671</v>
      </c>
      <c r="O19" s="1" t="s">
        <v>194</v>
      </c>
      <c r="P19" s="77">
        <v>8586</v>
      </c>
      <c r="Q19" s="1" t="s">
        <v>194</v>
      </c>
      <c r="R19" s="126">
        <v>3158</v>
      </c>
      <c r="S19" s="1" t="s">
        <v>194</v>
      </c>
      <c r="T19" s="77">
        <v>9211</v>
      </c>
      <c r="U19" s="1" t="s">
        <v>194</v>
      </c>
      <c r="V19" s="126">
        <v>3841</v>
      </c>
      <c r="W19" s="1" t="s">
        <v>194</v>
      </c>
      <c r="X19" s="77">
        <v>9533</v>
      </c>
      <c r="Y19" s="75" t="s">
        <v>194</v>
      </c>
      <c r="Z19" s="176">
        <v>5155</v>
      </c>
      <c r="AA19" s="176" t="s">
        <v>194</v>
      </c>
      <c r="AB19" s="77">
        <v>9898</v>
      </c>
      <c r="AC19" s="176" t="s">
        <v>194</v>
      </c>
      <c r="AD19" s="176">
        <v>4493</v>
      </c>
      <c r="AE19" s="176" t="s">
        <v>194</v>
      </c>
      <c r="AF19" s="204">
        <v>10263</v>
      </c>
      <c r="AG19" s="176" t="s">
        <v>194</v>
      </c>
      <c r="AH19" s="176">
        <v>4872</v>
      </c>
      <c r="AI19" s="176" t="s">
        <v>194</v>
      </c>
      <c r="AJ19" s="204">
        <v>10402</v>
      </c>
      <c r="AK19" s="176" t="s">
        <v>194</v>
      </c>
    </row>
    <row r="20" spans="2:37" x14ac:dyDescent="0.2">
      <c r="B20" s="24" t="s">
        <v>269</v>
      </c>
      <c r="C20" s="24"/>
      <c r="D20" s="2" t="s">
        <v>172</v>
      </c>
      <c r="E20" s="126">
        <v>2285</v>
      </c>
      <c r="F20" s="126">
        <v>5579</v>
      </c>
      <c r="G20" s="126">
        <v>11833</v>
      </c>
      <c r="H20" s="77">
        <v>16647</v>
      </c>
      <c r="I20" s="126">
        <v>1645</v>
      </c>
      <c r="J20" s="126">
        <v>5425</v>
      </c>
      <c r="K20" s="126">
        <v>8002</v>
      </c>
      <c r="L20" s="77">
        <v>16044</v>
      </c>
      <c r="M20" s="126">
        <v>1754</v>
      </c>
      <c r="N20" s="126">
        <v>4220</v>
      </c>
      <c r="O20" s="29">
        <v>9857</v>
      </c>
      <c r="P20" s="77">
        <v>16432</v>
      </c>
      <c r="Q20" s="126">
        <v>1278</v>
      </c>
      <c r="R20" s="126">
        <v>6193</v>
      </c>
      <c r="S20" s="29">
        <v>8409</v>
      </c>
      <c r="T20" s="77">
        <v>16526</v>
      </c>
      <c r="U20" s="126">
        <v>2596</v>
      </c>
      <c r="V20" s="126">
        <v>9017</v>
      </c>
      <c r="W20" s="126">
        <v>13332</v>
      </c>
      <c r="X20" s="77">
        <v>16358</v>
      </c>
      <c r="Y20" s="75">
        <v>6142</v>
      </c>
      <c r="Z20" s="176">
        <v>9527</v>
      </c>
      <c r="AA20" s="176">
        <v>12206</v>
      </c>
      <c r="AB20" s="77">
        <v>18069</v>
      </c>
      <c r="AC20" s="176">
        <v>2752</v>
      </c>
      <c r="AD20" s="176">
        <v>7779</v>
      </c>
      <c r="AE20" s="176">
        <v>11639</v>
      </c>
      <c r="AF20" s="204">
        <v>16670</v>
      </c>
      <c r="AG20" s="176">
        <v>2560</v>
      </c>
      <c r="AH20" s="176">
        <v>7625</v>
      </c>
      <c r="AI20" s="176">
        <v>12776</v>
      </c>
      <c r="AJ20" s="204">
        <v>18494</v>
      </c>
      <c r="AK20" s="54">
        <v>1535</v>
      </c>
    </row>
    <row r="21" spans="2:37" x14ac:dyDescent="0.2">
      <c r="B21" s="24" t="s">
        <v>268</v>
      </c>
      <c r="C21" s="24"/>
      <c r="D21" s="2" t="s">
        <v>172</v>
      </c>
      <c r="E21" s="126">
        <v>2281</v>
      </c>
      <c r="F21" s="126">
        <v>5167</v>
      </c>
      <c r="G21" s="126">
        <v>11234</v>
      </c>
      <c r="H21" s="77">
        <v>15287</v>
      </c>
      <c r="I21" s="126">
        <v>1465</v>
      </c>
      <c r="J21" s="126">
        <v>4608</v>
      </c>
      <c r="K21" s="126">
        <v>6917</v>
      </c>
      <c r="L21" s="77">
        <v>14148</v>
      </c>
      <c r="M21" s="126">
        <v>1518</v>
      </c>
      <c r="N21" s="126">
        <v>3749</v>
      </c>
      <c r="O21" s="29">
        <v>8724</v>
      </c>
      <c r="P21" s="77">
        <v>14126</v>
      </c>
      <c r="Q21" s="126">
        <v>1278</v>
      </c>
      <c r="R21" s="126">
        <v>5179</v>
      </c>
      <c r="S21" s="29">
        <v>6798</v>
      </c>
      <c r="T21" s="77">
        <v>13586</v>
      </c>
      <c r="U21" s="126">
        <v>2355</v>
      </c>
      <c r="V21" s="126">
        <v>8032</v>
      </c>
      <c r="W21" s="126">
        <v>12232</v>
      </c>
      <c r="X21" s="77">
        <v>13572</v>
      </c>
      <c r="Y21" s="75">
        <v>6142</v>
      </c>
      <c r="Z21" s="176">
        <v>8565</v>
      </c>
      <c r="AA21" s="176">
        <v>11098</v>
      </c>
      <c r="AB21" s="77">
        <v>14915</v>
      </c>
      <c r="AC21" s="176">
        <v>2321</v>
      </c>
      <c r="AD21" s="176">
        <v>6717</v>
      </c>
      <c r="AE21" s="176">
        <v>9850</v>
      </c>
      <c r="AF21" s="204">
        <v>12769</v>
      </c>
      <c r="AG21" s="176">
        <v>2558</v>
      </c>
      <c r="AH21" s="176">
        <v>6987</v>
      </c>
      <c r="AI21" s="176">
        <v>11111</v>
      </c>
      <c r="AJ21" s="204">
        <v>13699</v>
      </c>
      <c r="AK21" s="54">
        <v>1535</v>
      </c>
    </row>
    <row r="22" spans="2:37" x14ac:dyDescent="0.2">
      <c r="B22" s="24" t="s">
        <v>270</v>
      </c>
      <c r="C22" s="24"/>
      <c r="D22" s="2" t="s">
        <v>172</v>
      </c>
      <c r="E22" s="1" t="s">
        <v>194</v>
      </c>
      <c r="F22" s="126">
        <v>11635</v>
      </c>
      <c r="G22" s="1" t="s">
        <v>194</v>
      </c>
      <c r="H22" s="77">
        <v>7892</v>
      </c>
      <c r="I22" s="1" t="s">
        <v>194</v>
      </c>
      <c r="J22" s="126">
        <v>10374</v>
      </c>
      <c r="K22" s="1" t="s">
        <v>194</v>
      </c>
      <c r="L22" s="77">
        <v>9906</v>
      </c>
      <c r="M22" s="1" t="s">
        <v>194</v>
      </c>
      <c r="N22" s="126">
        <v>11110</v>
      </c>
      <c r="O22" s="1" t="s">
        <v>194</v>
      </c>
      <c r="P22" s="77">
        <v>7537</v>
      </c>
      <c r="Q22" s="1" t="s">
        <v>194</v>
      </c>
      <c r="R22" s="126">
        <v>8864</v>
      </c>
      <c r="S22" s="1" t="s">
        <v>194</v>
      </c>
      <c r="T22" s="77">
        <v>8824</v>
      </c>
      <c r="U22" s="1" t="s">
        <v>194</v>
      </c>
      <c r="V22" s="126">
        <v>9276</v>
      </c>
      <c r="W22" s="1" t="s">
        <v>194</v>
      </c>
      <c r="X22" s="77">
        <v>9352</v>
      </c>
      <c r="Y22" s="75" t="s">
        <v>194</v>
      </c>
      <c r="Z22" s="176">
        <v>7644</v>
      </c>
      <c r="AA22" s="176" t="s">
        <v>194</v>
      </c>
      <c r="AB22" s="77">
        <v>7242</v>
      </c>
      <c r="AC22" s="176" t="s">
        <v>194</v>
      </c>
      <c r="AD22" s="176">
        <v>6132</v>
      </c>
      <c r="AE22" s="176" t="s">
        <v>194</v>
      </c>
      <c r="AF22" s="204">
        <v>6334</v>
      </c>
      <c r="AG22" s="176" t="s">
        <v>194</v>
      </c>
      <c r="AH22" s="176">
        <v>6677</v>
      </c>
      <c r="AI22" s="176" t="s">
        <v>194</v>
      </c>
      <c r="AJ22" s="204">
        <v>6636</v>
      </c>
      <c r="AK22" s="176" t="s">
        <v>194</v>
      </c>
    </row>
    <row r="23" spans="2:37" x14ac:dyDescent="0.2">
      <c r="B23" s="24" t="s">
        <v>271</v>
      </c>
      <c r="C23" s="24"/>
      <c r="D23" s="2" t="s">
        <v>172</v>
      </c>
      <c r="E23" s="1" t="s">
        <v>194</v>
      </c>
      <c r="F23" s="126">
        <v>10095</v>
      </c>
      <c r="G23" s="1" t="s">
        <v>194</v>
      </c>
      <c r="H23" s="77">
        <v>7353</v>
      </c>
      <c r="I23" s="1" t="s">
        <v>194</v>
      </c>
      <c r="J23" s="126">
        <v>8407</v>
      </c>
      <c r="K23" s="1" t="s">
        <v>194</v>
      </c>
      <c r="L23" s="77">
        <v>8571</v>
      </c>
      <c r="M23" s="1" t="s">
        <v>194</v>
      </c>
      <c r="N23" s="126">
        <v>9094</v>
      </c>
      <c r="O23" s="1" t="s">
        <v>194</v>
      </c>
      <c r="P23" s="77">
        <v>6761</v>
      </c>
      <c r="Q23" s="1" t="s">
        <v>194</v>
      </c>
      <c r="R23" s="126">
        <v>6773</v>
      </c>
      <c r="S23" s="1" t="s">
        <v>194</v>
      </c>
      <c r="T23" s="77">
        <v>7724</v>
      </c>
      <c r="U23" s="1" t="s">
        <v>194</v>
      </c>
      <c r="V23" s="126">
        <v>7156</v>
      </c>
      <c r="W23" s="1" t="s">
        <v>194</v>
      </c>
      <c r="X23" s="77">
        <v>7749</v>
      </c>
      <c r="Y23" s="75" t="s">
        <v>194</v>
      </c>
      <c r="Z23" s="176">
        <v>6031</v>
      </c>
      <c r="AA23" s="176" t="s">
        <v>194</v>
      </c>
      <c r="AB23" s="77">
        <v>6108</v>
      </c>
      <c r="AC23" s="176" t="s">
        <v>194</v>
      </c>
      <c r="AD23" s="176">
        <v>4142</v>
      </c>
      <c r="AE23" s="176" t="s">
        <v>194</v>
      </c>
      <c r="AF23" s="204">
        <v>5431</v>
      </c>
      <c r="AG23" s="176" t="s">
        <v>194</v>
      </c>
      <c r="AH23" s="176">
        <v>5372</v>
      </c>
      <c r="AI23" s="176" t="s">
        <v>194</v>
      </c>
      <c r="AJ23" s="204">
        <v>5964</v>
      </c>
      <c r="AK23" s="176" t="s">
        <v>194</v>
      </c>
    </row>
    <row r="24" spans="2:37" x14ac:dyDescent="0.2">
      <c r="R24" s="27"/>
      <c r="S24" s="27"/>
      <c r="Z24" s="126"/>
      <c r="AA24" s="126"/>
      <c r="AC24" s="75"/>
      <c r="AD24" s="75"/>
      <c r="AE24" s="75"/>
      <c r="AF24" s="149"/>
      <c r="AG24" s="149"/>
      <c r="AH24" s="149"/>
      <c r="AI24" s="149"/>
      <c r="AJ24" s="149"/>
    </row>
    <row r="25" spans="2:37" x14ac:dyDescent="0.2">
      <c r="B25" s="7" t="s">
        <v>293</v>
      </c>
      <c r="C25" s="7"/>
      <c r="D25" s="9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2:37" s="68" customFormat="1" x14ac:dyDescent="0.2">
      <c r="B26" s="96"/>
      <c r="C26" s="120" t="s">
        <v>233</v>
      </c>
      <c r="F26" s="97"/>
      <c r="H26" s="98"/>
      <c r="I26" s="98"/>
      <c r="J26" s="97"/>
      <c r="L26" s="98"/>
      <c r="N26" s="97"/>
      <c r="P26" s="98"/>
      <c r="R26" s="97"/>
      <c r="T26" s="97"/>
      <c r="U26" s="97"/>
      <c r="V26" s="97"/>
      <c r="W26" s="97"/>
      <c r="X26" s="97"/>
    </row>
    <row r="27" spans="2:37" ht="12.75" customHeight="1" outlineLevel="1" x14ac:dyDescent="0.2">
      <c r="C27" s="100"/>
      <c r="R27" s="27"/>
      <c r="S27" s="27"/>
      <c r="AD27" s="16"/>
      <c r="AE27" s="16"/>
      <c r="AF27" s="16"/>
      <c r="AG27" s="16"/>
      <c r="AH27" s="16"/>
      <c r="AI27" s="16"/>
      <c r="AJ27" s="16"/>
    </row>
    <row r="28" spans="2:37" ht="12.75" customHeight="1" outlineLevel="1" x14ac:dyDescent="0.2">
      <c r="B28" s="2" t="s">
        <v>214</v>
      </c>
      <c r="C28" s="115">
        <v>1</v>
      </c>
      <c r="D28" s="2" t="s">
        <v>172</v>
      </c>
      <c r="F28" s="2">
        <v>758</v>
      </c>
      <c r="H28" s="121">
        <v>1470</v>
      </c>
      <c r="J28" s="16">
        <v>633</v>
      </c>
      <c r="L28" s="121">
        <v>1541</v>
      </c>
      <c r="M28" s="16"/>
      <c r="N28" s="16">
        <v>660</v>
      </c>
      <c r="O28" s="16"/>
      <c r="P28" s="121">
        <v>1230</v>
      </c>
      <c r="Q28" s="78"/>
      <c r="R28" s="16">
        <v>720</v>
      </c>
      <c r="S28" s="27"/>
      <c r="T28" s="121">
        <v>1493</v>
      </c>
      <c r="U28" s="16"/>
      <c r="V28" s="16">
        <v>612</v>
      </c>
      <c r="W28" s="16"/>
      <c r="X28" s="121">
        <v>1273</v>
      </c>
      <c r="Z28" s="16">
        <v>541</v>
      </c>
      <c r="AA28" s="16"/>
      <c r="AB28" s="121">
        <v>1070</v>
      </c>
      <c r="AD28" s="16">
        <v>543</v>
      </c>
      <c r="AE28" s="16"/>
      <c r="AF28" s="121">
        <v>1020</v>
      </c>
      <c r="AG28" s="121"/>
      <c r="AH28" s="16">
        <v>413</v>
      </c>
      <c r="AI28" s="16"/>
      <c r="AJ28" s="121">
        <v>821</v>
      </c>
    </row>
    <row r="29" spans="2:37" ht="12.75" customHeight="1" outlineLevel="1" x14ac:dyDescent="0.2">
      <c r="B29" s="2" t="s">
        <v>212</v>
      </c>
      <c r="C29" s="115">
        <v>1</v>
      </c>
      <c r="D29" s="2" t="s">
        <v>172</v>
      </c>
      <c r="F29" s="16">
        <v>426</v>
      </c>
      <c r="H29" s="121">
        <v>774</v>
      </c>
      <c r="J29" s="16">
        <v>471</v>
      </c>
      <c r="L29" s="121">
        <v>864</v>
      </c>
      <c r="M29" s="16"/>
      <c r="N29" s="16">
        <v>374</v>
      </c>
      <c r="O29" s="16"/>
      <c r="P29" s="121">
        <v>660</v>
      </c>
      <c r="Q29" s="78"/>
      <c r="R29" s="16">
        <v>431</v>
      </c>
      <c r="S29" s="27"/>
      <c r="T29" s="121">
        <v>800</v>
      </c>
      <c r="U29" s="16"/>
      <c r="V29" s="16">
        <v>423</v>
      </c>
      <c r="W29" s="16"/>
      <c r="X29" s="121">
        <v>830</v>
      </c>
      <c r="Z29" s="16">
        <v>402</v>
      </c>
      <c r="AA29" s="16"/>
      <c r="AB29" s="121">
        <v>833</v>
      </c>
      <c r="AD29" s="16">
        <v>424</v>
      </c>
      <c r="AE29" s="16"/>
      <c r="AF29" s="121">
        <v>833</v>
      </c>
      <c r="AG29" s="121"/>
      <c r="AH29" s="16">
        <v>450</v>
      </c>
      <c r="AI29" s="16"/>
      <c r="AJ29" s="121">
        <v>833</v>
      </c>
    </row>
    <row r="30" spans="2:37" ht="12.75" customHeight="1" outlineLevel="1" x14ac:dyDescent="0.2">
      <c r="B30" s="2" t="s">
        <v>215</v>
      </c>
      <c r="C30" s="115">
        <v>0.65</v>
      </c>
      <c r="D30" s="2" t="s">
        <v>172</v>
      </c>
      <c r="F30" s="16">
        <v>439</v>
      </c>
      <c r="H30" s="121">
        <v>801</v>
      </c>
      <c r="J30" s="16">
        <v>449</v>
      </c>
      <c r="L30" s="121">
        <v>800</v>
      </c>
      <c r="M30" s="16"/>
      <c r="N30" s="16">
        <v>360</v>
      </c>
      <c r="O30" s="16"/>
      <c r="P30" s="121">
        <v>633</v>
      </c>
      <c r="Q30" s="78"/>
      <c r="R30" s="16">
        <v>377</v>
      </c>
      <c r="S30" s="27"/>
      <c r="T30" s="121">
        <v>805</v>
      </c>
      <c r="U30" s="16"/>
      <c r="V30" s="16">
        <v>414</v>
      </c>
      <c r="W30" s="16"/>
      <c r="X30" s="121">
        <v>803</v>
      </c>
      <c r="Z30" s="16">
        <v>399</v>
      </c>
      <c r="AA30" s="16"/>
      <c r="AB30" s="121">
        <v>832</v>
      </c>
      <c r="AD30" s="16">
        <v>446</v>
      </c>
      <c r="AE30" s="16"/>
      <c r="AF30" s="121">
        <v>833</v>
      </c>
      <c r="AG30" s="121"/>
      <c r="AH30" s="16">
        <v>410</v>
      </c>
      <c r="AI30" s="16"/>
      <c r="AJ30" s="121">
        <v>805</v>
      </c>
    </row>
    <row r="31" spans="2:37" ht="12.75" customHeight="1" outlineLevel="1" x14ac:dyDescent="0.2">
      <c r="B31" s="2" t="s">
        <v>213</v>
      </c>
      <c r="C31" s="115">
        <v>0.6</v>
      </c>
      <c r="D31" s="2" t="s">
        <v>172</v>
      </c>
      <c r="F31" s="16">
        <v>1315</v>
      </c>
      <c r="H31" s="121">
        <v>2662</v>
      </c>
      <c r="J31" s="16">
        <v>1480</v>
      </c>
      <c r="L31" s="121">
        <v>3209</v>
      </c>
      <c r="M31" s="16"/>
      <c r="N31" s="16">
        <v>1340</v>
      </c>
      <c r="O31" s="16"/>
      <c r="P31" s="121">
        <v>2693</v>
      </c>
      <c r="Q31" s="78"/>
      <c r="R31" s="16">
        <v>1599</v>
      </c>
      <c r="S31" s="27"/>
      <c r="T31" s="121">
        <v>3449</v>
      </c>
      <c r="U31" s="16"/>
      <c r="V31" s="16">
        <v>1371</v>
      </c>
      <c r="W31" s="16"/>
      <c r="X31" s="121">
        <v>3201</v>
      </c>
      <c r="Z31" s="16">
        <v>1640</v>
      </c>
      <c r="AA31" s="16"/>
      <c r="AB31" s="121">
        <v>3230</v>
      </c>
      <c r="AD31" s="16">
        <v>1350</v>
      </c>
      <c r="AE31" s="16"/>
      <c r="AF31" s="121">
        <v>2992</v>
      </c>
      <c r="AG31" s="121"/>
      <c r="AH31" s="16">
        <v>1344</v>
      </c>
      <c r="AI31" s="16"/>
      <c r="AJ31" s="121">
        <v>3215</v>
      </c>
    </row>
    <row r="32" spans="2:37" ht="12.75" customHeight="1" outlineLevel="1" x14ac:dyDescent="0.2">
      <c r="B32" s="2" t="s">
        <v>219</v>
      </c>
      <c r="C32" s="115">
        <v>0.52500000000000002</v>
      </c>
      <c r="D32" s="2" t="s">
        <v>172</v>
      </c>
      <c r="F32" s="16">
        <v>848</v>
      </c>
      <c r="H32" s="121">
        <v>1631</v>
      </c>
      <c r="J32" s="16">
        <v>721</v>
      </c>
      <c r="L32" s="121">
        <v>1560</v>
      </c>
      <c r="M32" s="16"/>
      <c r="N32" s="16">
        <v>653</v>
      </c>
      <c r="O32" s="16"/>
      <c r="P32" s="121">
        <v>1181</v>
      </c>
      <c r="Q32" s="78"/>
      <c r="R32" s="16">
        <v>569</v>
      </c>
      <c r="S32" s="27"/>
      <c r="T32" s="121">
        <v>1230</v>
      </c>
      <c r="U32" s="16"/>
      <c r="V32" s="16">
        <v>602</v>
      </c>
      <c r="W32" s="16"/>
      <c r="X32" s="121">
        <v>1315</v>
      </c>
      <c r="Z32" s="16">
        <v>493</v>
      </c>
      <c r="AA32" s="16"/>
      <c r="AB32" s="121">
        <v>1066</v>
      </c>
      <c r="AD32" s="16">
        <v>614</v>
      </c>
      <c r="AE32" s="16"/>
      <c r="AF32" s="121">
        <v>1141</v>
      </c>
      <c r="AG32" s="121"/>
      <c r="AH32" s="16">
        <v>571</v>
      </c>
      <c r="AI32" s="16"/>
      <c r="AJ32" s="121">
        <v>1203</v>
      </c>
    </row>
    <row r="33" spans="2:37" ht="12.75" customHeight="1" outlineLevel="1" x14ac:dyDescent="0.2">
      <c r="B33" s="2" t="s">
        <v>211</v>
      </c>
      <c r="C33" s="115">
        <v>0.51</v>
      </c>
      <c r="D33" s="2" t="s">
        <v>172</v>
      </c>
      <c r="F33" s="16">
        <v>837</v>
      </c>
      <c r="H33" s="121">
        <v>1712</v>
      </c>
      <c r="J33" s="16">
        <v>716</v>
      </c>
      <c r="L33" s="121">
        <v>1694</v>
      </c>
      <c r="M33" s="16"/>
      <c r="N33" s="16">
        <v>708</v>
      </c>
      <c r="O33" s="16"/>
      <c r="P33" s="121">
        <v>1308</v>
      </c>
      <c r="Q33" s="78"/>
      <c r="R33" s="16">
        <v>766</v>
      </c>
      <c r="S33" s="27"/>
      <c r="T33" s="121">
        <v>1579</v>
      </c>
      <c r="U33" s="16"/>
      <c r="V33" s="16">
        <v>724</v>
      </c>
      <c r="W33" s="16"/>
      <c r="X33" s="121">
        <v>1650</v>
      </c>
      <c r="Z33" s="16">
        <v>762</v>
      </c>
      <c r="AA33" s="16"/>
      <c r="AB33" s="121">
        <v>1648</v>
      </c>
      <c r="AD33" s="16">
        <v>753</v>
      </c>
      <c r="AE33" s="16"/>
      <c r="AF33" s="121">
        <v>1739</v>
      </c>
      <c r="AG33" s="121"/>
      <c r="AH33" s="16">
        <v>887</v>
      </c>
      <c r="AI33" s="16"/>
      <c r="AJ33" s="121">
        <v>1789</v>
      </c>
    </row>
    <row r="34" spans="2:37" ht="12.75" customHeight="1" outlineLevel="1" x14ac:dyDescent="0.2">
      <c r="B34" s="2" t="s">
        <v>217</v>
      </c>
      <c r="C34" s="115">
        <v>0.51</v>
      </c>
      <c r="D34" s="2" t="s">
        <v>172</v>
      </c>
      <c r="F34" s="16">
        <v>457</v>
      </c>
      <c r="H34" s="121">
        <v>960</v>
      </c>
      <c r="J34" s="16">
        <v>443</v>
      </c>
      <c r="L34" s="121">
        <v>960</v>
      </c>
      <c r="M34" s="16"/>
      <c r="N34" s="16">
        <v>457</v>
      </c>
      <c r="O34" s="16"/>
      <c r="P34" s="121">
        <v>753</v>
      </c>
      <c r="Q34" s="76"/>
      <c r="R34" s="16">
        <v>415</v>
      </c>
      <c r="S34" s="27"/>
      <c r="T34" s="121">
        <v>962</v>
      </c>
      <c r="U34" s="16"/>
      <c r="V34" s="16">
        <v>426</v>
      </c>
      <c r="W34" s="16"/>
      <c r="X34" s="121">
        <v>940</v>
      </c>
      <c r="Z34" s="16">
        <v>443</v>
      </c>
      <c r="AA34" s="16"/>
      <c r="AB34" s="121">
        <v>963</v>
      </c>
      <c r="AD34" s="16">
        <v>429</v>
      </c>
      <c r="AE34" s="16"/>
      <c r="AF34" s="121">
        <v>963</v>
      </c>
      <c r="AG34" s="121"/>
      <c r="AH34" s="16">
        <v>403</v>
      </c>
      <c r="AI34" s="16"/>
      <c r="AJ34" s="121">
        <v>855</v>
      </c>
    </row>
    <row r="35" spans="2:37" ht="12.75" customHeight="1" outlineLevel="1" x14ac:dyDescent="0.2">
      <c r="B35" s="2" t="s">
        <v>221</v>
      </c>
      <c r="C35" s="115">
        <v>0.5</v>
      </c>
      <c r="D35" s="2" t="s">
        <v>172</v>
      </c>
      <c r="F35" s="16">
        <v>789</v>
      </c>
      <c r="H35" s="121">
        <v>1556</v>
      </c>
      <c r="J35" s="16">
        <v>778</v>
      </c>
      <c r="L35" s="121">
        <v>1550</v>
      </c>
      <c r="M35" s="16"/>
      <c r="N35" s="16">
        <v>763</v>
      </c>
      <c r="O35" s="16"/>
      <c r="P35" s="121">
        <v>1363</v>
      </c>
      <c r="Q35" s="78"/>
      <c r="R35" s="16">
        <v>780</v>
      </c>
      <c r="S35" s="27"/>
      <c r="T35" s="121">
        <v>1545</v>
      </c>
      <c r="U35" s="16"/>
      <c r="V35" s="16">
        <v>768</v>
      </c>
      <c r="W35" s="16"/>
      <c r="X35" s="121">
        <v>1545</v>
      </c>
      <c r="Z35" s="16">
        <v>810</v>
      </c>
      <c r="AA35" s="16"/>
      <c r="AB35" s="121">
        <v>1647</v>
      </c>
      <c r="AD35" s="16">
        <v>977</v>
      </c>
      <c r="AE35" s="16"/>
      <c r="AF35" s="121">
        <v>2001</v>
      </c>
      <c r="AG35" s="121"/>
      <c r="AH35" s="16">
        <v>1074</v>
      </c>
      <c r="AI35" s="16"/>
      <c r="AJ35" s="121">
        <v>2227</v>
      </c>
    </row>
    <row r="36" spans="2:37" ht="12.75" customHeight="1" outlineLevel="1" x14ac:dyDescent="0.2">
      <c r="B36" s="2" t="s">
        <v>339</v>
      </c>
      <c r="C36" s="115">
        <v>0.5</v>
      </c>
      <c r="D36" s="2" t="s">
        <v>172</v>
      </c>
      <c r="F36" s="16">
        <v>757</v>
      </c>
      <c r="H36" s="121">
        <v>1665</v>
      </c>
      <c r="J36" s="16">
        <v>735</v>
      </c>
      <c r="L36" s="121">
        <v>1599</v>
      </c>
      <c r="M36" s="16"/>
      <c r="N36" s="16">
        <v>704</v>
      </c>
      <c r="O36" s="16"/>
      <c r="P36" s="121">
        <v>1455</v>
      </c>
      <c r="Q36" s="78"/>
      <c r="R36" s="16">
        <v>712</v>
      </c>
      <c r="S36" s="27"/>
      <c r="T36" s="121">
        <v>1579</v>
      </c>
      <c r="U36" s="16"/>
      <c r="V36" s="16">
        <v>717</v>
      </c>
      <c r="W36" s="16"/>
      <c r="X36" s="121">
        <v>1580</v>
      </c>
      <c r="Z36" s="16">
        <v>779</v>
      </c>
      <c r="AA36" s="16"/>
      <c r="AB36" s="121">
        <v>1681</v>
      </c>
      <c r="AD36" s="16">
        <v>858</v>
      </c>
      <c r="AE36" s="16"/>
      <c r="AF36" s="121">
        <v>2030</v>
      </c>
      <c r="AG36" s="121"/>
      <c r="AH36" s="16">
        <v>1006</v>
      </c>
      <c r="AI36" s="16"/>
      <c r="AJ36" s="121">
        <v>2154</v>
      </c>
    </row>
    <row r="37" spans="2:37" ht="12.75" customHeight="1" outlineLevel="1" x14ac:dyDescent="0.2">
      <c r="B37" s="2" t="s">
        <v>220</v>
      </c>
      <c r="C37" s="115">
        <v>0.5</v>
      </c>
      <c r="D37" s="2" t="s">
        <v>172</v>
      </c>
      <c r="F37" s="16">
        <v>937</v>
      </c>
      <c r="H37" s="121">
        <v>2088</v>
      </c>
      <c r="J37" s="16">
        <v>1241</v>
      </c>
      <c r="L37" s="121">
        <v>2600</v>
      </c>
      <c r="M37" s="16"/>
      <c r="N37" s="16">
        <v>1353</v>
      </c>
      <c r="O37" s="16"/>
      <c r="P37" s="121">
        <v>2460</v>
      </c>
      <c r="Q37" s="78"/>
      <c r="R37" s="16">
        <v>1280</v>
      </c>
      <c r="S37" s="27"/>
      <c r="T37" s="121">
        <v>2561</v>
      </c>
      <c r="U37" s="16"/>
      <c r="V37" s="16">
        <v>1238</v>
      </c>
      <c r="W37" s="16"/>
      <c r="X37" s="121">
        <v>2560</v>
      </c>
      <c r="Z37" s="16">
        <v>1239</v>
      </c>
      <c r="AA37" s="16"/>
      <c r="AB37" s="121">
        <v>2611</v>
      </c>
      <c r="AD37" s="16">
        <v>1611</v>
      </c>
      <c r="AE37" s="16"/>
      <c r="AF37" s="121">
        <v>3299</v>
      </c>
      <c r="AG37" s="121"/>
      <c r="AH37" s="16">
        <v>1848</v>
      </c>
      <c r="AI37" s="16"/>
      <c r="AJ37" s="121">
        <v>3622</v>
      </c>
    </row>
    <row r="38" spans="2:37" ht="12.75" customHeight="1" outlineLevel="1" x14ac:dyDescent="0.2">
      <c r="B38" s="2" t="s">
        <v>218</v>
      </c>
      <c r="C38" s="115">
        <v>0.49980000000000002</v>
      </c>
      <c r="D38" s="2" t="s">
        <v>172</v>
      </c>
      <c r="F38" s="16">
        <v>398</v>
      </c>
      <c r="H38" s="121">
        <v>756</v>
      </c>
      <c r="J38" s="16">
        <v>391</v>
      </c>
      <c r="L38" s="121">
        <v>778</v>
      </c>
      <c r="M38" s="16"/>
      <c r="N38" s="16">
        <v>353</v>
      </c>
      <c r="O38" s="16"/>
      <c r="P38" s="121">
        <v>648</v>
      </c>
      <c r="Q38" s="76"/>
      <c r="R38" s="16">
        <v>314</v>
      </c>
      <c r="S38" s="27"/>
      <c r="T38" s="121">
        <v>655</v>
      </c>
      <c r="U38" s="16"/>
      <c r="V38" s="16">
        <v>361</v>
      </c>
      <c r="W38" s="16"/>
      <c r="X38" s="121">
        <v>741</v>
      </c>
      <c r="Z38" s="16">
        <v>395</v>
      </c>
      <c r="AA38" s="16"/>
      <c r="AB38" s="121">
        <v>757</v>
      </c>
      <c r="AD38" s="16">
        <v>311</v>
      </c>
      <c r="AE38" s="16"/>
      <c r="AF38" s="121">
        <v>611</v>
      </c>
      <c r="AG38" s="121"/>
      <c r="AH38" s="16">
        <v>283</v>
      </c>
      <c r="AI38" s="16"/>
      <c r="AJ38" s="121">
        <v>546</v>
      </c>
    </row>
    <row r="39" spans="2:37" ht="12.75" customHeight="1" outlineLevel="1" x14ac:dyDescent="0.2">
      <c r="B39" s="2" t="s">
        <v>216</v>
      </c>
      <c r="C39" s="115">
        <v>0.49</v>
      </c>
      <c r="D39" s="2" t="s">
        <v>172</v>
      </c>
      <c r="F39" s="16">
        <v>1673</v>
      </c>
      <c r="H39" s="121">
        <v>3212</v>
      </c>
      <c r="J39" s="16">
        <v>1536</v>
      </c>
      <c r="L39" s="121">
        <v>3252</v>
      </c>
      <c r="M39" s="16"/>
      <c r="N39" s="16">
        <v>1554</v>
      </c>
      <c r="O39" s="16"/>
      <c r="P39" s="121">
        <v>2833</v>
      </c>
      <c r="Q39" s="76"/>
      <c r="R39" s="16">
        <v>1331</v>
      </c>
      <c r="S39" s="27"/>
      <c r="T39" s="121">
        <v>2840</v>
      </c>
      <c r="U39" s="16"/>
      <c r="V39" s="16">
        <v>1347</v>
      </c>
      <c r="W39" s="16"/>
      <c r="X39" s="121">
        <v>2564</v>
      </c>
      <c r="Z39" s="16">
        <v>960</v>
      </c>
      <c r="AA39" s="16"/>
      <c r="AB39" s="121">
        <v>2103</v>
      </c>
      <c r="AD39" s="16">
        <v>958</v>
      </c>
      <c r="AE39" s="16"/>
      <c r="AF39" s="121">
        <v>2388</v>
      </c>
      <c r="AG39" s="121"/>
      <c r="AH39" s="16">
        <v>1589</v>
      </c>
      <c r="AI39" s="16"/>
      <c r="AJ39" s="121">
        <v>3714</v>
      </c>
    </row>
    <row r="40" spans="2:37" ht="12.75" customHeight="1" outlineLevel="1" x14ac:dyDescent="0.2">
      <c r="B40" s="2" t="s">
        <v>222</v>
      </c>
      <c r="C40" s="115">
        <v>0.3</v>
      </c>
      <c r="D40" s="2" t="s">
        <v>172</v>
      </c>
      <c r="F40" s="16">
        <v>1271</v>
      </c>
      <c r="H40" s="121">
        <v>2418</v>
      </c>
      <c r="J40" s="16">
        <v>1206</v>
      </c>
      <c r="L40" s="121">
        <v>2401</v>
      </c>
      <c r="M40" s="16"/>
      <c r="N40" s="16">
        <v>1155</v>
      </c>
      <c r="O40" s="16"/>
      <c r="P40" s="121">
        <v>2260</v>
      </c>
      <c r="Q40" s="78"/>
      <c r="R40" s="16">
        <v>1157</v>
      </c>
      <c r="S40" s="27"/>
      <c r="T40" s="121">
        <v>2321</v>
      </c>
      <c r="U40" s="16"/>
      <c r="V40" s="16">
        <v>1067</v>
      </c>
      <c r="W40" s="16"/>
      <c r="X40" s="121">
        <v>2225</v>
      </c>
      <c r="Y40" s="121"/>
      <c r="Z40" s="16">
        <v>1244</v>
      </c>
      <c r="AA40" s="16"/>
      <c r="AB40" s="121">
        <v>2488</v>
      </c>
      <c r="AD40" s="16">
        <v>1382</v>
      </c>
      <c r="AE40" s="16"/>
      <c r="AF40" s="121">
        <v>2803</v>
      </c>
      <c r="AG40" s="121"/>
      <c r="AH40" s="16">
        <v>1381</v>
      </c>
      <c r="AI40" s="16"/>
      <c r="AJ40" s="121">
        <v>2845</v>
      </c>
    </row>
    <row r="41" spans="2:37" ht="12.75" customHeight="1" outlineLevel="1" x14ac:dyDescent="0.2">
      <c r="B41" s="2" t="s">
        <v>322</v>
      </c>
      <c r="C41" s="115">
        <v>0.51</v>
      </c>
      <c r="D41" s="2" t="s">
        <v>172</v>
      </c>
      <c r="F41" s="16"/>
      <c r="H41" s="121"/>
      <c r="J41" s="16"/>
      <c r="L41" s="121"/>
      <c r="M41" s="16"/>
      <c r="N41" s="16"/>
      <c r="O41" s="16"/>
      <c r="P41" s="121"/>
      <c r="Q41" s="78"/>
      <c r="R41" s="16"/>
      <c r="S41" s="27"/>
      <c r="T41" s="121"/>
      <c r="U41" s="16"/>
      <c r="V41" s="16"/>
      <c r="W41" s="16"/>
      <c r="X41" s="121"/>
      <c r="Y41" s="121"/>
      <c r="Z41" s="16">
        <v>118</v>
      </c>
      <c r="AA41" s="16"/>
      <c r="AB41" s="121">
        <v>180</v>
      </c>
      <c r="AC41" s="121"/>
      <c r="AD41" s="201">
        <v>201</v>
      </c>
      <c r="AE41" s="201"/>
      <c r="AF41" s="205">
        <v>617</v>
      </c>
      <c r="AG41" s="205"/>
      <c r="AH41" s="201">
        <v>583</v>
      </c>
      <c r="AI41" s="201"/>
      <c r="AJ41" s="205">
        <v>1210</v>
      </c>
    </row>
    <row r="42" spans="2:37" ht="12.75" customHeight="1" outlineLevel="1" x14ac:dyDescent="0.2">
      <c r="B42" s="23" t="s">
        <v>1</v>
      </c>
      <c r="C42" s="23"/>
      <c r="D42" s="23"/>
      <c r="E42" s="23"/>
      <c r="F42" s="83">
        <f>SUM(F28:F40)</f>
        <v>10905</v>
      </c>
      <c r="G42" s="83"/>
      <c r="H42" s="83">
        <f>SUM(H28:H40)</f>
        <v>21705</v>
      </c>
      <c r="I42" s="83"/>
      <c r="J42" s="83">
        <f>SUM(J28:J40)</f>
        <v>10800</v>
      </c>
      <c r="K42" s="83"/>
      <c r="L42" s="83">
        <f>SUM(L28:L40)</f>
        <v>22808</v>
      </c>
      <c r="M42" s="83"/>
      <c r="N42" s="83">
        <f>SUM(N28:N40)</f>
        <v>10434</v>
      </c>
      <c r="O42" s="83"/>
      <c r="P42" s="83">
        <f>SUM(P28:P40)</f>
        <v>19477</v>
      </c>
      <c r="Q42" s="83"/>
      <c r="R42" s="83">
        <f>SUM(R28:R40)</f>
        <v>10451</v>
      </c>
      <c r="S42" s="83">
        <f>SUM(S28:S40)</f>
        <v>0</v>
      </c>
      <c r="T42" s="83">
        <f>SUM(T28:T40)</f>
        <v>21819</v>
      </c>
      <c r="U42" s="83">
        <f>SUM(U28:U40)</f>
        <v>0</v>
      </c>
      <c r="V42" s="83">
        <f>SUM(V28:V40)</f>
        <v>10070</v>
      </c>
      <c r="W42" s="83"/>
      <c r="X42" s="83">
        <f>SUM(X28:X40)</f>
        <v>21227</v>
      </c>
      <c r="Y42" s="83"/>
      <c r="Z42" s="83">
        <f>SUM(Z28:Z41)</f>
        <v>10225</v>
      </c>
      <c r="AA42" s="83"/>
      <c r="AB42" s="202" t="s">
        <v>325</v>
      </c>
      <c r="AC42" s="55"/>
      <c r="AD42" s="121">
        <f>SUM(AD28:AD41)</f>
        <v>10857</v>
      </c>
      <c r="AE42" s="121"/>
      <c r="AF42" s="121">
        <f t="shared" ref="AF42" si="0">SUM(AF28:AF41)</f>
        <v>23270</v>
      </c>
      <c r="AG42" s="121"/>
      <c r="AH42" s="121">
        <f>SUM(AH28:AH41)</f>
        <v>12242</v>
      </c>
      <c r="AI42" s="121"/>
      <c r="AJ42" s="121">
        <f t="shared" ref="AJ42" si="1">SUM(AJ28:AJ41)</f>
        <v>25839</v>
      </c>
    </row>
    <row r="43" spans="2:37" x14ac:dyDescent="0.2">
      <c r="B43" s="2" t="s">
        <v>326</v>
      </c>
      <c r="R43" s="27"/>
      <c r="S43" s="27"/>
    </row>
    <row r="44" spans="2:37" x14ac:dyDescent="0.2">
      <c r="B44" s="7" t="s">
        <v>266</v>
      </c>
      <c r="C44" s="7"/>
      <c r="D44" s="8"/>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2:37" s="68" customFormat="1" x14ac:dyDescent="0.2">
      <c r="B45" s="96"/>
      <c r="C45" s="96"/>
      <c r="F45" s="97"/>
      <c r="H45" s="98"/>
      <c r="I45" s="98"/>
      <c r="J45" s="97"/>
      <c r="L45" s="98"/>
      <c r="N45" s="97"/>
      <c r="P45" s="98"/>
      <c r="R45" s="97"/>
      <c r="T45" s="98"/>
      <c r="U45" s="98"/>
      <c r="V45" s="98"/>
      <c r="W45" s="98"/>
      <c r="X45" s="98"/>
    </row>
    <row r="46" spans="2:37" ht="12.75" customHeight="1" outlineLevel="1" x14ac:dyDescent="0.2">
      <c r="B46" s="2" t="s">
        <v>173</v>
      </c>
      <c r="D46" s="2" t="s">
        <v>174</v>
      </c>
      <c r="E46" s="68"/>
      <c r="F46" s="68">
        <v>12.22</v>
      </c>
      <c r="G46" s="68"/>
      <c r="H46" s="73">
        <v>11.56</v>
      </c>
      <c r="I46" s="68"/>
      <c r="J46" s="68">
        <v>9.86</v>
      </c>
      <c r="K46" s="68"/>
      <c r="L46" s="73">
        <v>9.2799999999999994</v>
      </c>
      <c r="M46" s="68"/>
      <c r="N46" s="68">
        <v>9.7899999999999991</v>
      </c>
      <c r="O46" s="68"/>
      <c r="P46" s="73">
        <v>8.67</v>
      </c>
      <c r="Q46" s="68"/>
      <c r="R46" s="68">
        <v>8.99</v>
      </c>
      <c r="S46" s="81"/>
      <c r="T46" s="73">
        <v>8.8000000000000007</v>
      </c>
      <c r="U46" s="68"/>
      <c r="V46" s="68">
        <v>9.9700000000000006</v>
      </c>
      <c r="W46" s="68"/>
      <c r="X46" s="73">
        <v>10.25</v>
      </c>
      <c r="Z46" s="68">
        <v>12.18</v>
      </c>
      <c r="AA46" s="68"/>
      <c r="AB46" s="73">
        <v>13.27</v>
      </c>
      <c r="AC46" s="73"/>
      <c r="AD46" s="68">
        <v>16.8</v>
      </c>
      <c r="AE46" s="68"/>
      <c r="AF46" s="73">
        <v>16.59</v>
      </c>
      <c r="AG46" s="73"/>
      <c r="AH46" s="68">
        <v>17.86</v>
      </c>
      <c r="AI46" s="68"/>
      <c r="AJ46" s="73">
        <v>18.059999999999999</v>
      </c>
    </row>
    <row r="47" spans="2:37" ht="12.75" customHeight="1" outlineLevel="1" x14ac:dyDescent="0.2">
      <c r="B47" s="2" t="s">
        <v>276</v>
      </c>
      <c r="D47" s="2" t="s">
        <v>174</v>
      </c>
      <c r="E47" s="68"/>
      <c r="F47" s="68"/>
      <c r="G47" s="68"/>
      <c r="H47" s="73"/>
      <c r="I47" s="68"/>
      <c r="J47" s="68"/>
      <c r="K47" s="68"/>
      <c r="L47" s="73"/>
      <c r="M47" s="68"/>
      <c r="N47" s="68"/>
      <c r="O47" s="68"/>
      <c r="P47" s="73"/>
      <c r="Q47" s="68"/>
      <c r="R47" s="68">
        <v>3.59</v>
      </c>
      <c r="S47" s="81"/>
      <c r="T47" s="73">
        <v>3.83</v>
      </c>
      <c r="U47" s="68"/>
      <c r="V47" s="68">
        <v>5.33</v>
      </c>
      <c r="W47" s="68"/>
      <c r="X47" s="73">
        <v>5.94</v>
      </c>
      <c r="Z47" s="68">
        <v>7.22</v>
      </c>
      <c r="AA47" s="68"/>
      <c r="AB47" s="177">
        <v>8.1</v>
      </c>
      <c r="AC47" s="177"/>
      <c r="AD47" s="68">
        <v>11.26</v>
      </c>
      <c r="AE47" s="68"/>
      <c r="AF47" s="73">
        <v>11.06</v>
      </c>
      <c r="AG47" s="73"/>
      <c r="AH47" s="68">
        <v>12.95</v>
      </c>
      <c r="AI47" s="68"/>
      <c r="AJ47" s="73">
        <v>11.47</v>
      </c>
    </row>
    <row r="48" spans="2:37" s="9" customFormat="1" ht="12.75" customHeight="1" outlineLevel="1" x14ac:dyDescent="0.2">
      <c r="B48" s="45" t="s">
        <v>234</v>
      </c>
      <c r="C48" s="45"/>
      <c r="D48" s="2" t="s">
        <v>174</v>
      </c>
      <c r="E48" s="68"/>
      <c r="F48" s="68">
        <v>16.28</v>
      </c>
      <c r="G48" s="68"/>
      <c r="H48" s="73">
        <v>15.08</v>
      </c>
      <c r="I48" s="68"/>
      <c r="J48" s="68">
        <v>13.27</v>
      </c>
      <c r="K48" s="73"/>
      <c r="L48" s="73">
        <v>11.94</v>
      </c>
      <c r="M48" s="73"/>
      <c r="N48" s="68">
        <v>11.65</v>
      </c>
      <c r="O48" s="73"/>
      <c r="P48" s="73">
        <v>11.72</v>
      </c>
      <c r="Q48" s="73"/>
      <c r="R48" s="68">
        <v>12.58</v>
      </c>
      <c r="S48" s="81"/>
      <c r="T48" s="73">
        <v>12.63</v>
      </c>
      <c r="U48" s="73"/>
      <c r="V48" s="68">
        <v>15.3</v>
      </c>
      <c r="W48" s="73"/>
      <c r="X48" s="73">
        <v>16.190000000000001</v>
      </c>
      <c r="Z48" s="68">
        <v>19.41</v>
      </c>
      <c r="AA48" s="68"/>
      <c r="AB48" s="73">
        <v>21.37</v>
      </c>
      <c r="AC48" s="73"/>
      <c r="AD48" s="68">
        <v>28.06</v>
      </c>
      <c r="AE48" s="68"/>
      <c r="AF48" s="73">
        <v>27.65</v>
      </c>
      <c r="AG48" s="73"/>
      <c r="AH48" s="68">
        <v>30.81</v>
      </c>
      <c r="AI48" s="68"/>
      <c r="AJ48" s="73">
        <v>29.53</v>
      </c>
    </row>
    <row r="49" spans="2:44" ht="12.75" customHeight="1" outlineLevel="1" x14ac:dyDescent="0.2">
      <c r="B49" s="114" t="s">
        <v>210</v>
      </c>
      <c r="C49" s="114"/>
      <c r="D49" s="24" t="s">
        <v>18</v>
      </c>
      <c r="E49" s="68"/>
      <c r="F49" s="184">
        <v>30500</v>
      </c>
      <c r="G49" s="184"/>
      <c r="H49" s="219">
        <v>75400</v>
      </c>
      <c r="I49" s="184"/>
      <c r="J49" s="184">
        <v>26000</v>
      </c>
      <c r="K49" s="68"/>
      <c r="L49" s="217">
        <v>66943</v>
      </c>
      <c r="M49" s="94"/>
      <c r="N49" s="94">
        <v>16112</v>
      </c>
      <c r="O49" s="94"/>
      <c r="P49" s="217">
        <v>60947</v>
      </c>
      <c r="Q49" s="94"/>
      <c r="R49" s="94">
        <v>33444</v>
      </c>
      <c r="S49" s="218"/>
      <c r="T49" s="217">
        <v>89168</v>
      </c>
      <c r="U49" s="94"/>
      <c r="V49" s="94">
        <v>56293</v>
      </c>
      <c r="W49" s="94"/>
      <c r="X49" s="217">
        <v>146499</v>
      </c>
      <c r="Y49" s="54"/>
      <c r="Z49" s="94">
        <v>76845</v>
      </c>
      <c r="AA49" s="94"/>
      <c r="AB49" s="217">
        <v>201321</v>
      </c>
      <c r="AC49" s="217"/>
      <c r="AD49" s="94">
        <v>125906</v>
      </c>
      <c r="AE49" s="94"/>
      <c r="AF49" s="217">
        <v>317540</v>
      </c>
      <c r="AG49" s="217"/>
      <c r="AH49" s="94">
        <v>160546</v>
      </c>
      <c r="AI49" s="94"/>
      <c r="AJ49" s="217">
        <v>398187</v>
      </c>
    </row>
    <row r="50" spans="2:44" s="9" customFormat="1" x14ac:dyDescent="0.2">
      <c r="B50" s="45"/>
      <c r="C50" s="45"/>
      <c r="D50" s="2"/>
      <c r="E50" s="68"/>
      <c r="F50" s="68"/>
      <c r="G50" s="68"/>
      <c r="H50" s="73"/>
      <c r="I50" s="68"/>
      <c r="J50" s="68"/>
      <c r="K50" s="68"/>
      <c r="L50" s="73"/>
      <c r="M50" s="68"/>
      <c r="N50" s="68"/>
      <c r="O50" s="68"/>
      <c r="P50" s="73"/>
      <c r="Q50" s="68"/>
      <c r="R50" s="68"/>
      <c r="S50" s="68"/>
      <c r="T50" s="73"/>
      <c r="U50" s="68"/>
      <c r="V50" s="68"/>
      <c r="W50" s="68"/>
      <c r="X50" s="73"/>
      <c r="Y50" s="2"/>
      <c r="Z50" s="2"/>
      <c r="AA50" s="2"/>
      <c r="AB50" s="2"/>
      <c r="AC50" s="2"/>
      <c r="AD50" s="2"/>
      <c r="AE50" s="2"/>
      <c r="AK50" s="2"/>
      <c r="AL50" s="2"/>
      <c r="AM50" s="2"/>
      <c r="AN50" s="2"/>
      <c r="AO50" s="2"/>
      <c r="AP50" s="2"/>
      <c r="AQ50" s="2"/>
      <c r="AR50" s="2"/>
    </row>
    <row r="51" spans="2:44" x14ac:dyDescent="0.2">
      <c r="B51" s="7" t="s">
        <v>267</v>
      </c>
      <c r="C51" s="7"/>
      <c r="D51" s="8"/>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2:44" s="68" customFormat="1" x14ac:dyDescent="0.2">
      <c r="B52" s="96"/>
      <c r="C52" s="96"/>
      <c r="F52" s="97"/>
      <c r="H52" s="98"/>
      <c r="I52" s="98"/>
      <c r="J52" s="97"/>
      <c r="L52" s="98"/>
      <c r="N52" s="97"/>
      <c r="P52" s="98"/>
      <c r="R52" s="97"/>
      <c r="T52" s="98"/>
      <c r="U52" s="98"/>
      <c r="V52" s="98"/>
      <c r="W52" s="98"/>
      <c r="X52" s="98"/>
    </row>
    <row r="53" spans="2:44" ht="12.75" customHeight="1" outlineLevel="1" x14ac:dyDescent="0.2">
      <c r="B53" s="2" t="s">
        <v>16</v>
      </c>
      <c r="D53" s="24" t="s">
        <v>18</v>
      </c>
      <c r="E53" s="16"/>
      <c r="F53" s="16">
        <v>7263</v>
      </c>
      <c r="G53" s="16"/>
      <c r="H53" s="121">
        <v>31412</v>
      </c>
      <c r="I53" s="16"/>
      <c r="J53" s="16">
        <v>15719</v>
      </c>
      <c r="K53" s="16"/>
      <c r="L53" s="121">
        <v>43948</v>
      </c>
      <c r="M53" s="16"/>
      <c r="N53" s="16">
        <v>28796</v>
      </c>
      <c r="O53" s="16"/>
      <c r="P53" s="121">
        <v>65492</v>
      </c>
      <c r="Q53" s="16"/>
      <c r="R53" s="16">
        <v>24071</v>
      </c>
      <c r="S53" s="16"/>
      <c r="T53" s="121">
        <v>85345</v>
      </c>
      <c r="U53" s="16"/>
      <c r="V53" s="16">
        <v>51085</v>
      </c>
      <c r="W53" s="16"/>
      <c r="X53" s="121">
        <v>118853</v>
      </c>
      <c r="Z53" s="16">
        <v>56217</v>
      </c>
      <c r="AA53" s="16"/>
      <c r="AB53" s="121">
        <v>157610</v>
      </c>
      <c r="AD53" s="16">
        <v>102013</v>
      </c>
      <c r="AE53" s="16"/>
      <c r="AF53" s="121">
        <v>252893</v>
      </c>
      <c r="AG53" s="121"/>
      <c r="AH53" s="16">
        <v>62896</v>
      </c>
      <c r="AI53" s="16"/>
      <c r="AJ53" s="121">
        <v>212651</v>
      </c>
    </row>
    <row r="54" spans="2:44" ht="12.75" customHeight="1" outlineLevel="1" x14ac:dyDescent="0.2">
      <c r="B54" s="2" t="s">
        <v>252</v>
      </c>
      <c r="D54" s="24" t="s">
        <v>18</v>
      </c>
      <c r="E54" s="16"/>
      <c r="F54" s="16">
        <v>8374</v>
      </c>
      <c r="G54" s="16"/>
      <c r="H54" s="121">
        <v>17720</v>
      </c>
      <c r="I54" s="16"/>
      <c r="J54" s="16">
        <v>10339</v>
      </c>
      <c r="K54" s="16"/>
      <c r="L54" s="121">
        <v>22916</v>
      </c>
      <c r="M54" s="16"/>
      <c r="N54" s="16">
        <v>10453</v>
      </c>
      <c r="O54" s="16"/>
      <c r="P54" s="121">
        <v>20110</v>
      </c>
      <c r="Q54" s="16"/>
      <c r="R54" s="16">
        <v>10669</v>
      </c>
      <c r="S54" s="16"/>
      <c r="T54" s="121">
        <v>23659</v>
      </c>
      <c r="U54" s="16"/>
      <c r="V54" s="16">
        <v>13004</v>
      </c>
      <c r="W54" s="16"/>
      <c r="X54" s="121">
        <v>29616</v>
      </c>
      <c r="Z54" s="16">
        <v>20624</v>
      </c>
      <c r="AA54" s="16"/>
      <c r="AB54" s="121">
        <v>52283</v>
      </c>
      <c r="AD54" s="16">
        <v>42176</v>
      </c>
      <c r="AE54" s="16"/>
      <c r="AF54" s="121">
        <v>86576</v>
      </c>
      <c r="AG54" s="121"/>
      <c r="AH54" s="16">
        <v>59898</v>
      </c>
      <c r="AI54" s="16"/>
      <c r="AJ54" s="121">
        <v>137042</v>
      </c>
    </row>
    <row r="55" spans="2:44" ht="12.75" customHeight="1" outlineLevel="1" x14ac:dyDescent="0.2">
      <c r="B55" s="2" t="s">
        <v>196</v>
      </c>
      <c r="D55" s="24" t="s">
        <v>18</v>
      </c>
      <c r="E55" s="16"/>
      <c r="F55" s="16">
        <v>22767</v>
      </c>
      <c r="G55" s="16"/>
      <c r="H55" s="121">
        <v>49684</v>
      </c>
      <c r="I55" s="16"/>
      <c r="J55" s="16">
        <v>26562</v>
      </c>
      <c r="K55" s="16"/>
      <c r="L55" s="121">
        <v>60335</v>
      </c>
      <c r="M55" s="16"/>
      <c r="N55" s="16">
        <v>24783</v>
      </c>
      <c r="O55" s="16"/>
      <c r="P55" s="121">
        <v>55490</v>
      </c>
      <c r="Q55" s="16"/>
      <c r="R55" s="16">
        <v>21812</v>
      </c>
      <c r="S55" s="16"/>
      <c r="T55" s="121">
        <v>62572</v>
      </c>
      <c r="U55" s="16"/>
      <c r="V55" s="16">
        <v>48858</v>
      </c>
      <c r="W55" s="16"/>
      <c r="X55" s="121">
        <v>111051</v>
      </c>
      <c r="Y55" s="121"/>
      <c r="Z55" s="16">
        <v>64884</v>
      </c>
      <c r="AA55" s="16"/>
      <c r="AB55" s="121">
        <v>150830</v>
      </c>
      <c r="AD55" s="16">
        <v>103649</v>
      </c>
      <c r="AE55" s="16"/>
      <c r="AF55" s="121">
        <v>237490</v>
      </c>
      <c r="AG55" s="121"/>
      <c r="AH55" s="16">
        <v>88391</v>
      </c>
      <c r="AI55" s="16"/>
      <c r="AJ55" s="121">
        <v>232760</v>
      </c>
    </row>
    <row r="56" spans="2:44" ht="12.75" customHeight="1" outlineLevel="1" x14ac:dyDescent="0.2">
      <c r="B56" s="23" t="s">
        <v>197</v>
      </c>
      <c r="C56" s="23"/>
      <c r="D56" s="23" t="s">
        <v>18</v>
      </c>
      <c r="E56" s="23"/>
      <c r="F56" s="83">
        <f t="shared" ref="F56:N56" si="2">SUM(F53:F55)</f>
        <v>38404</v>
      </c>
      <c r="G56" s="83"/>
      <c r="H56" s="83">
        <f t="shared" si="2"/>
        <v>98816</v>
      </c>
      <c r="I56" s="83"/>
      <c r="J56" s="83">
        <f t="shared" si="2"/>
        <v>52620</v>
      </c>
      <c r="K56" s="83"/>
      <c r="L56" s="83">
        <f t="shared" si="2"/>
        <v>127199</v>
      </c>
      <c r="M56" s="83"/>
      <c r="N56" s="83">
        <f t="shared" si="2"/>
        <v>64032</v>
      </c>
      <c r="O56" s="83"/>
      <c r="P56" s="83">
        <f>SUM(P53:P55)</f>
        <v>141092</v>
      </c>
      <c r="Q56" s="82"/>
      <c r="R56" s="83">
        <f>SUM(R53:R55)</f>
        <v>56552</v>
      </c>
      <c r="S56" s="83">
        <f t="shared" ref="S56:V56" si="3">SUM(S53:S55)</f>
        <v>0</v>
      </c>
      <c r="T56" s="83">
        <f t="shared" si="3"/>
        <v>171576</v>
      </c>
      <c r="U56" s="83">
        <f t="shared" si="3"/>
        <v>0</v>
      </c>
      <c r="V56" s="83">
        <f t="shared" si="3"/>
        <v>112947</v>
      </c>
      <c r="W56" s="83"/>
      <c r="X56" s="83">
        <f>SUM(X53:X55)</f>
        <v>259520</v>
      </c>
      <c r="Y56" s="83"/>
      <c r="Z56" s="83">
        <f t="shared" ref="Z56:AB56" si="4">SUM(Z53:Z55)</f>
        <v>141725</v>
      </c>
      <c r="AA56" s="83"/>
      <c r="AB56" s="83">
        <f t="shared" si="4"/>
        <v>360723</v>
      </c>
      <c r="AC56" s="55"/>
      <c r="AD56" s="83">
        <f>SUM(AD53:AD55)</f>
        <v>247838</v>
      </c>
      <c r="AE56" s="83"/>
      <c r="AF56" s="83">
        <f>AF53+AF54+AF55</f>
        <v>576959</v>
      </c>
      <c r="AG56" s="83"/>
      <c r="AH56" s="83">
        <f>SUM(AH53:AH55)</f>
        <v>211185</v>
      </c>
      <c r="AI56" s="83"/>
      <c r="AJ56" s="83">
        <f>AJ53+AJ54+AJ55</f>
        <v>582453</v>
      </c>
    </row>
    <row r="57" spans="2:44" x14ac:dyDescent="0.2">
      <c r="AF57" s="9"/>
      <c r="AG57" s="9"/>
      <c r="AH57" s="9"/>
      <c r="AI57" s="9"/>
      <c r="AJ57" s="9"/>
    </row>
    <row r="58" spans="2:44" x14ac:dyDescent="0.2">
      <c r="B58" s="7" t="s">
        <v>272</v>
      </c>
      <c r="C58" s="7"/>
      <c r="D58" s="8"/>
      <c r="E58" s="8"/>
      <c r="F58" s="4"/>
      <c r="G58" s="8"/>
      <c r="H58" s="5"/>
      <c r="I58" s="5"/>
      <c r="J58" s="4"/>
      <c r="K58" s="4"/>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2:44" s="68" customFormat="1" x14ac:dyDescent="0.2">
      <c r="B59" s="96"/>
      <c r="C59" s="96"/>
      <c r="F59" s="97"/>
      <c r="H59" s="98"/>
      <c r="I59" s="98"/>
      <c r="J59" s="97"/>
      <c r="L59" s="98"/>
      <c r="N59" s="97"/>
      <c r="P59" s="98"/>
      <c r="R59" s="97"/>
      <c r="T59" s="98"/>
      <c r="U59" s="98"/>
      <c r="V59" s="98"/>
      <c r="W59" s="98"/>
      <c r="X59" s="98"/>
    </row>
    <row r="60" spans="2:44" ht="12.75" customHeight="1" outlineLevel="1" x14ac:dyDescent="0.2">
      <c r="B60" s="2" t="s">
        <v>198</v>
      </c>
      <c r="D60" s="24" t="s">
        <v>18</v>
      </c>
      <c r="E60" s="16"/>
      <c r="F60" s="16">
        <v>2446</v>
      </c>
      <c r="G60" s="16"/>
      <c r="H60" s="121">
        <v>7275</v>
      </c>
      <c r="I60" s="16"/>
      <c r="J60" s="16">
        <v>2469</v>
      </c>
      <c r="K60" s="16"/>
      <c r="L60" s="121">
        <v>6790</v>
      </c>
      <c r="M60" s="16"/>
      <c r="N60" s="16">
        <v>3586</v>
      </c>
      <c r="O60" s="16"/>
      <c r="P60" s="121">
        <v>10351</v>
      </c>
      <c r="Q60" s="16"/>
      <c r="R60" s="16">
        <v>2040</v>
      </c>
      <c r="S60" s="16"/>
      <c r="T60" s="121">
        <v>11110</v>
      </c>
      <c r="U60" s="16"/>
      <c r="V60" s="16">
        <v>8392</v>
      </c>
      <c r="W60" s="16"/>
      <c r="X60" s="121">
        <v>20331</v>
      </c>
      <c r="Z60" s="16">
        <v>11240</v>
      </c>
      <c r="AA60" s="16"/>
      <c r="AB60" s="121">
        <v>22408</v>
      </c>
      <c r="AD60" s="16">
        <v>8403</v>
      </c>
      <c r="AE60" s="16"/>
      <c r="AF60" s="121">
        <v>19291</v>
      </c>
      <c r="AG60" s="121"/>
      <c r="AH60" s="16">
        <v>9379</v>
      </c>
      <c r="AI60" s="16"/>
      <c r="AJ60" s="121">
        <v>26610</v>
      </c>
    </row>
    <row r="61" spans="2:44" ht="12.75" customHeight="1" outlineLevel="1" x14ac:dyDescent="0.2">
      <c r="B61" s="2" t="s">
        <v>185</v>
      </c>
      <c r="D61" s="24" t="s">
        <v>18</v>
      </c>
      <c r="E61" s="16"/>
      <c r="F61" s="16">
        <v>241</v>
      </c>
      <c r="G61" s="16"/>
      <c r="H61" s="121">
        <v>950</v>
      </c>
      <c r="I61" s="16"/>
      <c r="J61" s="16">
        <v>343</v>
      </c>
      <c r="K61" s="16"/>
      <c r="L61" s="121">
        <v>1035</v>
      </c>
      <c r="M61" s="16"/>
      <c r="N61" s="16">
        <v>472</v>
      </c>
      <c r="O61" s="16"/>
      <c r="P61" s="121">
        <v>1139</v>
      </c>
      <c r="Q61" s="16"/>
      <c r="R61" s="16">
        <v>550</v>
      </c>
      <c r="S61" s="16"/>
      <c r="T61" s="121">
        <v>1456</v>
      </c>
      <c r="U61" s="16"/>
      <c r="V61" s="16">
        <v>678</v>
      </c>
      <c r="W61" s="16"/>
      <c r="X61" s="121">
        <v>1744</v>
      </c>
      <c r="Z61" s="16">
        <v>851</v>
      </c>
      <c r="AA61" s="16"/>
      <c r="AB61" s="121">
        <v>1916</v>
      </c>
      <c r="AD61" s="16">
        <v>915</v>
      </c>
      <c r="AE61" s="16"/>
      <c r="AF61" s="121">
        <v>2163</v>
      </c>
      <c r="AG61" s="121"/>
      <c r="AH61" s="16">
        <v>898</v>
      </c>
      <c r="AI61" s="16"/>
      <c r="AJ61" s="121">
        <v>2228</v>
      </c>
    </row>
    <row r="62" spans="2:44" ht="12.75" customHeight="1" outlineLevel="1" x14ac:dyDescent="0.2">
      <c r="B62" s="2" t="s">
        <v>199</v>
      </c>
      <c r="D62" s="24" t="s">
        <v>18</v>
      </c>
      <c r="E62" s="16"/>
      <c r="F62" s="16">
        <v>130</v>
      </c>
      <c r="G62" s="16"/>
      <c r="H62" s="121">
        <v>106</v>
      </c>
      <c r="I62" s="16"/>
      <c r="J62" s="16">
        <v>25</v>
      </c>
      <c r="K62" s="16"/>
      <c r="L62" s="121">
        <v>255</v>
      </c>
      <c r="M62" s="16"/>
      <c r="N62" s="16">
        <v>65</v>
      </c>
      <c r="O62" s="16"/>
      <c r="P62" s="121">
        <v>212</v>
      </c>
      <c r="Q62" s="16"/>
      <c r="R62" s="16">
        <v>79</v>
      </c>
      <c r="S62" s="16"/>
      <c r="T62" s="121">
        <v>306</v>
      </c>
      <c r="U62" s="16"/>
      <c r="V62" s="16">
        <v>100</v>
      </c>
      <c r="W62" s="16"/>
      <c r="X62" s="121">
        <v>199</v>
      </c>
      <c r="Z62" s="16">
        <v>75</v>
      </c>
      <c r="AA62" s="16"/>
      <c r="AB62" s="121">
        <v>170</v>
      </c>
      <c r="AD62" s="16">
        <v>78</v>
      </c>
      <c r="AE62" s="16"/>
      <c r="AF62" s="121">
        <v>179</v>
      </c>
      <c r="AG62" s="121"/>
      <c r="AH62" s="16">
        <v>59</v>
      </c>
      <c r="AI62" s="16"/>
      <c r="AJ62" s="121">
        <v>154</v>
      </c>
    </row>
    <row r="63" spans="2:44" ht="12.75" customHeight="1" outlineLevel="1" x14ac:dyDescent="0.2">
      <c r="B63" s="2" t="s">
        <v>316</v>
      </c>
      <c r="D63" s="24" t="s">
        <v>18</v>
      </c>
      <c r="E63" s="16"/>
      <c r="F63" s="16"/>
      <c r="G63" s="16"/>
      <c r="H63" s="121"/>
      <c r="I63" s="16"/>
      <c r="J63" s="16"/>
      <c r="K63" s="16"/>
      <c r="L63" s="121"/>
      <c r="M63" s="16"/>
      <c r="N63" s="16"/>
      <c r="O63" s="16"/>
      <c r="P63" s="121"/>
      <c r="Q63" s="16"/>
      <c r="R63" s="16"/>
      <c r="S63" s="16"/>
      <c r="T63" s="121"/>
      <c r="U63" s="16"/>
      <c r="V63" s="16"/>
      <c r="W63" s="16"/>
      <c r="X63" s="121">
        <v>952</v>
      </c>
      <c r="Z63" s="16"/>
      <c r="AA63" s="16"/>
      <c r="AB63" s="121">
        <v>917</v>
      </c>
      <c r="AD63" s="16">
        <v>143</v>
      </c>
      <c r="AE63" s="16"/>
      <c r="AF63" s="121">
        <v>1125</v>
      </c>
      <c r="AG63" s="121"/>
      <c r="AH63" s="16">
        <v>384</v>
      </c>
      <c r="AI63" s="16"/>
      <c r="AJ63" s="121">
        <v>1529</v>
      </c>
    </row>
    <row r="64" spans="2:44" ht="12.75" customHeight="1" outlineLevel="1" x14ac:dyDescent="0.2">
      <c r="B64" s="2" t="s">
        <v>200</v>
      </c>
      <c r="D64" s="24" t="s">
        <v>18</v>
      </c>
      <c r="E64" s="16"/>
      <c r="F64" s="16">
        <v>84</v>
      </c>
      <c r="G64" s="16"/>
      <c r="H64" s="121">
        <v>221</v>
      </c>
      <c r="I64" s="16"/>
      <c r="J64" s="16">
        <v>97</v>
      </c>
      <c r="K64" s="16"/>
      <c r="L64" s="121">
        <v>70</v>
      </c>
      <c r="M64" s="16"/>
      <c r="N64" s="16">
        <v>66</v>
      </c>
      <c r="O64" s="16"/>
      <c r="P64" s="121">
        <v>113</v>
      </c>
      <c r="Q64" s="16"/>
      <c r="R64" s="16">
        <v>29</v>
      </c>
      <c r="S64" s="16"/>
      <c r="T64" s="121">
        <v>105</v>
      </c>
      <c r="U64" s="16"/>
      <c r="V64" s="16">
        <v>162</v>
      </c>
      <c r="W64" s="16"/>
      <c r="X64" s="121">
        <v>214</v>
      </c>
      <c r="Z64" s="16">
        <v>23</v>
      </c>
      <c r="AA64" s="16"/>
      <c r="AB64" s="121">
        <v>385</v>
      </c>
      <c r="AD64" s="16">
        <v>46</v>
      </c>
      <c r="AE64" s="16"/>
      <c r="AF64" s="121">
        <v>110</v>
      </c>
      <c r="AG64" s="121"/>
      <c r="AH64" s="16">
        <v>124</v>
      </c>
      <c r="AI64" s="16"/>
      <c r="AJ64" s="121">
        <v>462</v>
      </c>
    </row>
    <row r="65" spans="2:36" ht="12.75" customHeight="1" outlineLevel="1" x14ac:dyDescent="0.2">
      <c r="B65" s="2" t="s">
        <v>184</v>
      </c>
      <c r="D65" s="24" t="s">
        <v>18</v>
      </c>
      <c r="E65" s="16"/>
      <c r="F65" s="16">
        <v>30</v>
      </c>
      <c r="G65" s="16"/>
      <c r="H65" s="121">
        <v>67</v>
      </c>
      <c r="I65" s="16"/>
      <c r="J65" s="16">
        <v>37</v>
      </c>
      <c r="K65" s="16"/>
      <c r="L65" s="121">
        <v>70</v>
      </c>
      <c r="M65" s="16"/>
      <c r="N65" s="16">
        <v>32</v>
      </c>
      <c r="O65" s="16"/>
      <c r="P65" s="121">
        <v>66</v>
      </c>
      <c r="Q65" s="16"/>
      <c r="R65" s="16">
        <v>33</v>
      </c>
      <c r="S65" s="16"/>
      <c r="T65" s="121">
        <v>65</v>
      </c>
      <c r="U65" s="16"/>
      <c r="V65" s="16">
        <v>30</v>
      </c>
      <c r="W65" s="16"/>
      <c r="X65" s="121">
        <v>56</v>
      </c>
      <c r="Z65" s="16">
        <v>46</v>
      </c>
      <c r="AA65" s="16"/>
      <c r="AB65" s="121">
        <v>93</v>
      </c>
      <c r="AD65" s="16">
        <v>53</v>
      </c>
      <c r="AE65" s="16"/>
      <c r="AF65" s="121">
        <v>99</v>
      </c>
      <c r="AG65" s="121"/>
      <c r="AH65" s="16">
        <v>46</v>
      </c>
      <c r="AI65" s="16"/>
      <c r="AJ65" s="121">
        <v>101</v>
      </c>
    </row>
    <row r="66" spans="2:36" ht="12.75" customHeight="1" outlineLevel="1" x14ac:dyDescent="0.2">
      <c r="B66" s="2" t="s">
        <v>201</v>
      </c>
      <c r="D66" s="24" t="s">
        <v>18</v>
      </c>
      <c r="E66" s="16"/>
      <c r="F66" s="16">
        <v>430</v>
      </c>
      <c r="G66" s="16"/>
      <c r="H66" s="121">
        <v>1911</v>
      </c>
      <c r="I66" s="16"/>
      <c r="J66" s="16">
        <v>1137</v>
      </c>
      <c r="K66" s="16"/>
      <c r="L66" s="121">
        <v>2607</v>
      </c>
      <c r="M66" s="16"/>
      <c r="N66" s="16">
        <v>715</v>
      </c>
      <c r="O66" s="16"/>
      <c r="P66" s="121">
        <v>2471</v>
      </c>
      <c r="Q66" s="16"/>
      <c r="R66" s="16">
        <v>911</v>
      </c>
      <c r="S66" s="16"/>
      <c r="T66" s="121">
        <v>2664</v>
      </c>
      <c r="U66" s="16"/>
      <c r="V66" s="16">
        <v>1230</v>
      </c>
      <c r="W66" s="16"/>
      <c r="X66" s="121">
        <f>3061-952</f>
        <v>2109</v>
      </c>
      <c r="Z66" s="16">
        <v>1286</v>
      </c>
      <c r="AA66" s="16"/>
      <c r="AB66" s="121">
        <f>3879-917</f>
        <v>2962</v>
      </c>
      <c r="AD66" s="16">
        <f>1265-143</f>
        <v>1122</v>
      </c>
      <c r="AE66" s="16"/>
      <c r="AF66" s="121">
        <f>4374-1125</f>
        <v>3249</v>
      </c>
      <c r="AG66" s="121"/>
      <c r="AH66" s="16">
        <f>1506-384</f>
        <v>1122</v>
      </c>
      <c r="AI66" s="16"/>
      <c r="AJ66" s="121">
        <f>4552-1529</f>
        <v>3023</v>
      </c>
    </row>
    <row r="67" spans="2:36" ht="12.75" customHeight="1" outlineLevel="1" x14ac:dyDescent="0.2">
      <c r="B67" s="23" t="s">
        <v>202</v>
      </c>
      <c r="C67" s="23"/>
      <c r="D67" s="23" t="s">
        <v>18</v>
      </c>
      <c r="E67" s="23"/>
      <c r="F67" s="83">
        <f>SUM(F60:F66)</f>
        <v>3361</v>
      </c>
      <c r="G67" s="83"/>
      <c r="H67" s="83">
        <f>SUM(H60:H66)</f>
        <v>10530</v>
      </c>
      <c r="I67" s="83"/>
      <c r="J67" s="83">
        <f>SUM(J60:J66)</f>
        <v>4108</v>
      </c>
      <c r="K67" s="83"/>
      <c r="L67" s="83">
        <f>SUM(L60:L66)</f>
        <v>10827</v>
      </c>
      <c r="M67" s="83"/>
      <c r="N67" s="83">
        <f>SUM(N60:N66)</f>
        <v>4936</v>
      </c>
      <c r="O67" s="83"/>
      <c r="P67" s="83">
        <f>SUM(P60:P66)</f>
        <v>14352</v>
      </c>
      <c r="Q67" s="82"/>
      <c r="R67" s="83">
        <f>SUM(R60:R66)</f>
        <v>3642</v>
      </c>
      <c r="S67" s="83">
        <f t="shared" ref="S67:V67" si="5">SUM(S60:S66)</f>
        <v>0</v>
      </c>
      <c r="T67" s="83">
        <f t="shared" si="5"/>
        <v>15706</v>
      </c>
      <c r="U67" s="83">
        <f t="shared" si="5"/>
        <v>0</v>
      </c>
      <c r="V67" s="83">
        <f t="shared" si="5"/>
        <v>10592</v>
      </c>
      <c r="W67" s="83"/>
      <c r="X67" s="83">
        <f>SUM(X60:X66)</f>
        <v>25605</v>
      </c>
      <c r="Y67" s="83"/>
      <c r="Z67" s="83">
        <f t="shared" ref="Z67:AB67" si="6">SUM(Z60:Z66)</f>
        <v>13521</v>
      </c>
      <c r="AA67" s="83"/>
      <c r="AB67" s="83">
        <f t="shared" si="6"/>
        <v>28851</v>
      </c>
      <c r="AC67" s="55"/>
      <c r="AD67" s="83">
        <f>SUM(AD60:AD66)</f>
        <v>10760</v>
      </c>
      <c r="AE67" s="83"/>
      <c r="AF67" s="83">
        <f t="shared" ref="AF67" si="7">SUM(AF60:AF66)</f>
        <v>26216</v>
      </c>
      <c r="AG67" s="83"/>
      <c r="AH67" s="83">
        <f>SUM(AH60:AH66)</f>
        <v>12012</v>
      </c>
      <c r="AI67" s="83"/>
      <c r="AJ67" s="83">
        <f t="shared" ref="AJ67" si="8">SUM(AJ60:AJ66)</f>
        <v>34107</v>
      </c>
    </row>
    <row r="68" spans="2:36" ht="15" x14ac:dyDescent="0.25">
      <c r="AF68"/>
      <c r="AG68"/>
      <c r="AH68"/>
      <c r="AI68"/>
      <c r="AJ68"/>
    </row>
    <row r="69" spans="2:36" ht="15" x14ac:dyDescent="0.25">
      <c r="AF69"/>
      <c r="AG69"/>
      <c r="AH69"/>
      <c r="AI69"/>
      <c r="AJ69"/>
    </row>
    <row r="70" spans="2:36" ht="15" x14ac:dyDescent="0.25">
      <c r="AF70"/>
      <c r="AG70"/>
      <c r="AH70"/>
      <c r="AI70"/>
      <c r="AJ70"/>
    </row>
    <row r="71" spans="2:36" ht="15" x14ac:dyDescent="0.25">
      <c r="AF71"/>
      <c r="AG71"/>
      <c r="AH71"/>
      <c r="AI71"/>
      <c r="AJ71"/>
    </row>
    <row r="72" spans="2:36" ht="40.35" customHeight="1" x14ac:dyDescent="0.2">
      <c r="B72" s="163" t="s">
        <v>300</v>
      </c>
    </row>
  </sheetData>
  <sortState ref="B28:V40">
    <sortCondition descending="1" ref="C28:C40"/>
    <sortCondition ref="B28:B40"/>
  </sortState>
  <pageMargins left="0.7" right="0.7" top="0.75" bottom="0.75" header="0.3" footer="0.3"/>
  <pageSetup paperSize="9" scale="25"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M35" sqref="M35"/>
    </sheetView>
  </sheetViews>
  <sheetFormatPr defaultRowHeight="15" x14ac:dyDescent="0.25"/>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AM39"/>
  <sheetViews>
    <sheetView zoomScaleNormal="100" workbookViewId="0">
      <selection activeCell="A41" sqref="A41"/>
    </sheetView>
  </sheetViews>
  <sheetFormatPr defaultColWidth="8.5703125" defaultRowHeight="12.75" x14ac:dyDescent="0.2"/>
  <cols>
    <col min="1" max="1" width="4.42578125" style="2" customWidth="1"/>
    <col min="2" max="2" width="25.140625" style="2" customWidth="1"/>
    <col min="3" max="3" width="11.5703125" style="2" bestFit="1" customWidth="1"/>
    <col min="4" max="29" width="10.42578125" style="2" bestFit="1" customWidth="1"/>
    <col min="30" max="30" width="10.5703125" style="2" bestFit="1" customWidth="1"/>
    <col min="31" max="35" width="10.5703125" style="2" customWidth="1"/>
    <col min="36" max="36" width="11.42578125" style="2" customWidth="1"/>
    <col min="37" max="37" width="9.140625" style="2" bestFit="1" customWidth="1"/>
    <col min="38" max="39" width="8.5703125" style="2" bestFit="1" customWidth="1"/>
    <col min="40" max="16384" width="8.5703125" style="2"/>
  </cols>
  <sheetData>
    <row r="2" spans="1:39" x14ac:dyDescent="0.2">
      <c r="A2" s="228"/>
      <c r="AK2" s="157"/>
      <c r="AL2" s="157"/>
      <c r="AM2" s="157"/>
    </row>
    <row r="3" spans="1:39" x14ac:dyDescent="0.2">
      <c r="A3" s="228"/>
      <c r="B3" s="7" t="s">
        <v>349</v>
      </c>
      <c r="C3" s="7"/>
      <c r="D3" s="5"/>
      <c r="E3" s="5"/>
      <c r="F3" s="5"/>
      <c r="G3" s="5"/>
      <c r="H3" s="5"/>
      <c r="I3" s="5"/>
      <c r="J3" s="5"/>
      <c r="K3" s="5"/>
      <c r="L3" s="5"/>
      <c r="M3" s="5"/>
      <c r="N3" s="5"/>
      <c r="O3" s="5"/>
      <c r="P3" s="5"/>
      <c r="Q3" s="5"/>
      <c r="R3" s="5"/>
      <c r="S3" s="8"/>
      <c r="T3" s="8"/>
      <c r="U3" s="8"/>
      <c r="V3" s="8"/>
      <c r="W3" s="8"/>
      <c r="X3" s="8"/>
      <c r="Y3" s="8"/>
      <c r="Z3" s="8"/>
      <c r="AA3" s="8"/>
      <c r="AB3" s="8"/>
      <c r="AC3" s="8"/>
      <c r="AD3" s="8"/>
      <c r="AE3" s="8"/>
      <c r="AF3" s="8"/>
      <c r="AG3" s="8"/>
      <c r="AH3" s="8"/>
      <c r="AI3" s="8"/>
      <c r="AJ3" s="8"/>
      <c r="AK3" s="157"/>
      <c r="AL3" s="157"/>
      <c r="AM3" s="157"/>
    </row>
    <row r="4" spans="1:39" x14ac:dyDescent="0.2">
      <c r="A4" s="228"/>
      <c r="B4" s="155"/>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95"/>
      <c r="AK4" s="157"/>
      <c r="AL4" s="157"/>
      <c r="AM4" s="157"/>
    </row>
    <row r="5" spans="1:39" ht="13.35" customHeight="1" x14ac:dyDescent="0.2">
      <c r="A5" s="228"/>
      <c r="B5" s="229" t="s">
        <v>294</v>
      </c>
      <c r="C5" s="230" t="s">
        <v>233</v>
      </c>
      <c r="D5" s="216"/>
      <c r="E5" s="231" t="s">
        <v>353</v>
      </c>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13"/>
      <c r="AF5" s="213"/>
      <c r="AG5" s="213"/>
      <c r="AH5" s="213"/>
      <c r="AI5" s="213"/>
      <c r="AJ5" s="158"/>
      <c r="AK5" s="157"/>
      <c r="AL5" s="157"/>
      <c r="AM5" s="157"/>
    </row>
    <row r="6" spans="1:39" x14ac:dyDescent="0.2">
      <c r="B6" s="229"/>
      <c r="C6" s="230"/>
      <c r="D6" s="158">
        <v>2026</v>
      </c>
      <c r="E6" s="158">
        <v>2027</v>
      </c>
      <c r="F6" s="158">
        <v>2028</v>
      </c>
      <c r="G6" s="158">
        <v>2029</v>
      </c>
      <c r="H6" s="158">
        <v>2030</v>
      </c>
      <c r="I6" s="158">
        <v>2031</v>
      </c>
      <c r="J6" s="158">
        <v>2032</v>
      </c>
      <c r="K6" s="158">
        <v>2033</v>
      </c>
      <c r="L6" s="158">
        <v>2034</v>
      </c>
      <c r="M6" s="158">
        <v>2035</v>
      </c>
      <c r="N6" s="158">
        <v>2036</v>
      </c>
      <c r="O6" s="158">
        <v>2037</v>
      </c>
      <c r="P6" s="158">
        <v>2038</v>
      </c>
      <c r="Q6" s="158">
        <v>2039</v>
      </c>
      <c r="R6" s="158">
        <v>2040</v>
      </c>
      <c r="S6" s="158">
        <v>2041</v>
      </c>
      <c r="T6" s="158">
        <v>2042</v>
      </c>
      <c r="U6" s="158">
        <v>2043</v>
      </c>
      <c r="V6" s="158">
        <v>2044</v>
      </c>
      <c r="W6" s="158">
        <v>2045</v>
      </c>
      <c r="X6" s="158">
        <v>2046</v>
      </c>
      <c r="Y6" s="158">
        <v>2047</v>
      </c>
      <c r="Z6" s="158">
        <v>2048</v>
      </c>
      <c r="AA6" s="158">
        <v>2049</v>
      </c>
      <c r="AB6" s="158">
        <v>2050</v>
      </c>
      <c r="AC6" s="158">
        <v>2051</v>
      </c>
      <c r="AD6" s="158">
        <v>2052</v>
      </c>
      <c r="AE6" s="158">
        <v>2053</v>
      </c>
      <c r="AF6" s="158">
        <v>2054</v>
      </c>
      <c r="AG6" s="158">
        <v>2055</v>
      </c>
      <c r="AH6" s="158">
        <v>2056</v>
      </c>
      <c r="AI6" s="158">
        <v>2057</v>
      </c>
      <c r="AJ6" s="158" t="s">
        <v>1</v>
      </c>
      <c r="AK6" s="157"/>
      <c r="AL6" s="157"/>
      <c r="AM6" s="157"/>
    </row>
    <row r="7" spans="1:39" x14ac:dyDescent="0.2">
      <c r="A7" s="214"/>
      <c r="B7" s="229"/>
      <c r="C7" s="230"/>
      <c r="D7" s="158" t="s">
        <v>280</v>
      </c>
      <c r="E7" s="158" t="s">
        <v>280</v>
      </c>
      <c r="F7" s="158" t="s">
        <v>280</v>
      </c>
      <c r="G7" s="158" t="s">
        <v>280</v>
      </c>
      <c r="H7" s="158" t="s">
        <v>280</v>
      </c>
      <c r="I7" s="158" t="s">
        <v>280</v>
      </c>
      <c r="J7" s="158" t="s">
        <v>280</v>
      </c>
      <c r="K7" s="158" t="s">
        <v>280</v>
      </c>
      <c r="L7" s="158" t="s">
        <v>280</v>
      </c>
      <c r="M7" s="158" t="s">
        <v>280</v>
      </c>
      <c r="N7" s="158" t="s">
        <v>280</v>
      </c>
      <c r="O7" s="158" t="s">
        <v>280</v>
      </c>
      <c r="P7" s="158" t="s">
        <v>280</v>
      </c>
      <c r="Q7" s="158" t="s">
        <v>280</v>
      </c>
      <c r="R7" s="158" t="s">
        <v>280</v>
      </c>
      <c r="S7" s="158" t="s">
        <v>280</v>
      </c>
      <c r="T7" s="158" t="s">
        <v>280</v>
      </c>
      <c r="U7" s="158" t="s">
        <v>280</v>
      </c>
      <c r="V7" s="158" t="s">
        <v>280</v>
      </c>
      <c r="W7" s="158" t="s">
        <v>280</v>
      </c>
      <c r="X7" s="158" t="s">
        <v>280</v>
      </c>
      <c r="Y7" s="158" t="s">
        <v>280</v>
      </c>
      <c r="Z7" s="158" t="s">
        <v>280</v>
      </c>
      <c r="AA7" s="158" t="s">
        <v>280</v>
      </c>
      <c r="AB7" s="158" t="s">
        <v>280</v>
      </c>
      <c r="AC7" s="158" t="s">
        <v>280</v>
      </c>
      <c r="AD7" s="158" t="s">
        <v>280</v>
      </c>
      <c r="AE7" s="158" t="s">
        <v>280</v>
      </c>
      <c r="AF7" s="158" t="s">
        <v>280</v>
      </c>
      <c r="AG7" s="158" t="s">
        <v>280</v>
      </c>
      <c r="AH7" s="158" t="s">
        <v>280</v>
      </c>
      <c r="AI7" s="158" t="s">
        <v>280</v>
      </c>
      <c r="AJ7" s="158" t="s">
        <v>280</v>
      </c>
      <c r="AK7" s="157"/>
      <c r="AL7" s="157"/>
      <c r="AM7" s="157"/>
    </row>
    <row r="8" spans="1:39" x14ac:dyDescent="0.2">
      <c r="A8" s="214"/>
      <c r="B8" s="159" t="s">
        <v>292</v>
      </c>
      <c r="C8" s="215">
        <v>1</v>
      </c>
      <c r="D8" s="160">
        <v>754</v>
      </c>
      <c r="E8" s="160">
        <v>894</v>
      </c>
      <c r="F8" s="160">
        <v>865</v>
      </c>
      <c r="G8" s="160">
        <v>865</v>
      </c>
      <c r="H8" s="160">
        <v>865</v>
      </c>
      <c r="I8" s="160">
        <v>865</v>
      </c>
      <c r="J8" s="160">
        <v>865</v>
      </c>
      <c r="K8" s="160">
        <v>865</v>
      </c>
      <c r="L8" s="160">
        <v>865</v>
      </c>
      <c r="M8" s="160">
        <v>865</v>
      </c>
      <c r="N8" s="160">
        <v>865</v>
      </c>
      <c r="O8" s="160">
        <v>865</v>
      </c>
      <c r="P8" s="160">
        <v>865</v>
      </c>
      <c r="Q8" s="160">
        <v>865</v>
      </c>
      <c r="R8" s="160">
        <v>557</v>
      </c>
      <c r="S8" s="160">
        <v>365</v>
      </c>
      <c r="T8" s="160">
        <v>365</v>
      </c>
      <c r="U8" s="160">
        <v>365</v>
      </c>
      <c r="V8" s="160">
        <v>365</v>
      </c>
      <c r="W8" s="160">
        <v>365</v>
      </c>
      <c r="X8" s="160">
        <v>365</v>
      </c>
      <c r="Y8" s="160">
        <v>365</v>
      </c>
      <c r="Z8" s="160">
        <v>344</v>
      </c>
      <c r="AA8" s="160">
        <v>291</v>
      </c>
      <c r="AB8" s="160">
        <v>0</v>
      </c>
      <c r="AC8" s="160">
        <v>0</v>
      </c>
      <c r="AD8" s="160">
        <v>0</v>
      </c>
      <c r="AE8" s="160">
        <v>0</v>
      </c>
      <c r="AF8" s="160">
        <v>0</v>
      </c>
      <c r="AG8" s="160">
        <v>0</v>
      </c>
      <c r="AH8" s="160">
        <v>0</v>
      </c>
      <c r="AI8" s="160">
        <v>0</v>
      </c>
      <c r="AJ8" s="161">
        <f t="shared" ref="AJ8:AJ21" si="0">SUM(D8:AI8)</f>
        <v>15775</v>
      </c>
      <c r="AK8" s="157"/>
      <c r="AL8" s="157"/>
      <c r="AM8" s="157"/>
    </row>
    <row r="9" spans="1:39" x14ac:dyDescent="0.2">
      <c r="A9" s="214"/>
      <c r="B9" s="159" t="s">
        <v>282</v>
      </c>
      <c r="C9" s="215">
        <v>0.51</v>
      </c>
      <c r="D9" s="160">
        <v>2115</v>
      </c>
      <c r="E9" s="160">
        <v>2500</v>
      </c>
      <c r="F9" s="160">
        <v>2650</v>
      </c>
      <c r="G9" s="160">
        <v>2750</v>
      </c>
      <c r="H9" s="160">
        <v>2900</v>
      </c>
      <c r="I9" s="160">
        <v>2900</v>
      </c>
      <c r="J9" s="160">
        <v>2600</v>
      </c>
      <c r="K9" s="160">
        <v>1596</v>
      </c>
      <c r="L9" s="160">
        <v>900</v>
      </c>
      <c r="M9" s="160">
        <v>900</v>
      </c>
      <c r="N9" s="160">
        <v>900</v>
      </c>
      <c r="O9" s="160">
        <v>900</v>
      </c>
      <c r="P9" s="160">
        <v>900</v>
      </c>
      <c r="Q9" s="160">
        <v>800</v>
      </c>
      <c r="R9" s="160">
        <v>700</v>
      </c>
      <c r="S9" s="160">
        <v>360</v>
      </c>
      <c r="T9" s="160">
        <v>223</v>
      </c>
      <c r="U9" s="160">
        <v>0</v>
      </c>
      <c r="V9" s="160">
        <v>0</v>
      </c>
      <c r="W9" s="160">
        <v>0</v>
      </c>
      <c r="X9" s="160">
        <v>0</v>
      </c>
      <c r="Y9" s="160">
        <v>0</v>
      </c>
      <c r="Z9" s="160">
        <v>0</v>
      </c>
      <c r="AA9" s="160">
        <v>0</v>
      </c>
      <c r="AB9" s="160">
        <v>0</v>
      </c>
      <c r="AC9" s="160">
        <v>0</v>
      </c>
      <c r="AD9" s="160">
        <v>0</v>
      </c>
      <c r="AE9" s="160">
        <v>0</v>
      </c>
      <c r="AF9" s="160">
        <v>0</v>
      </c>
      <c r="AG9" s="160">
        <v>0</v>
      </c>
      <c r="AH9" s="160">
        <v>0</v>
      </c>
      <c r="AI9" s="160">
        <v>0</v>
      </c>
      <c r="AJ9" s="161">
        <f t="shared" si="0"/>
        <v>26594</v>
      </c>
      <c r="AK9" s="157"/>
      <c r="AL9" s="157"/>
      <c r="AM9" s="157"/>
    </row>
    <row r="10" spans="1:39" x14ac:dyDescent="0.2">
      <c r="A10" s="214"/>
      <c r="B10" s="159" t="s">
        <v>283</v>
      </c>
      <c r="C10" s="215">
        <v>1</v>
      </c>
      <c r="D10" s="160">
        <v>833</v>
      </c>
      <c r="E10" s="160">
        <v>833</v>
      </c>
      <c r="F10" s="160">
        <v>833</v>
      </c>
      <c r="G10" s="160">
        <v>833</v>
      </c>
      <c r="H10" s="160">
        <v>833</v>
      </c>
      <c r="I10" s="160">
        <v>833</v>
      </c>
      <c r="J10" s="160">
        <v>833</v>
      </c>
      <c r="K10" s="160">
        <v>833</v>
      </c>
      <c r="L10" s="160">
        <v>833</v>
      </c>
      <c r="M10" s="160">
        <v>833</v>
      </c>
      <c r="N10" s="160">
        <v>571</v>
      </c>
      <c r="O10" s="160">
        <v>245</v>
      </c>
      <c r="P10" s="160">
        <v>0</v>
      </c>
      <c r="Q10" s="160">
        <v>0</v>
      </c>
      <c r="R10" s="160">
        <v>0</v>
      </c>
      <c r="S10" s="160">
        <v>0</v>
      </c>
      <c r="T10" s="160">
        <v>0</v>
      </c>
      <c r="U10" s="160">
        <v>0</v>
      </c>
      <c r="V10" s="160">
        <v>0</v>
      </c>
      <c r="W10" s="160">
        <v>0</v>
      </c>
      <c r="X10" s="160">
        <v>0</v>
      </c>
      <c r="Y10" s="160">
        <v>0</v>
      </c>
      <c r="Z10" s="160">
        <v>0</v>
      </c>
      <c r="AA10" s="160">
        <v>0</v>
      </c>
      <c r="AB10" s="160">
        <v>0</v>
      </c>
      <c r="AC10" s="160">
        <v>0</v>
      </c>
      <c r="AD10" s="160">
        <v>0</v>
      </c>
      <c r="AE10" s="160">
        <v>0</v>
      </c>
      <c r="AF10" s="160">
        <v>0</v>
      </c>
      <c r="AG10" s="160">
        <v>0</v>
      </c>
      <c r="AH10" s="160">
        <v>0</v>
      </c>
      <c r="AI10" s="160">
        <v>0</v>
      </c>
      <c r="AJ10" s="161">
        <f t="shared" si="0"/>
        <v>9146</v>
      </c>
      <c r="AK10" s="157"/>
      <c r="AL10" s="157"/>
      <c r="AM10" s="157"/>
    </row>
    <row r="11" spans="1:39" x14ac:dyDescent="0.2">
      <c r="A11" s="214"/>
      <c r="B11" s="159" t="s">
        <v>284</v>
      </c>
      <c r="C11" s="215">
        <v>0.65</v>
      </c>
      <c r="D11" s="160">
        <v>800</v>
      </c>
      <c r="E11" s="160">
        <v>800</v>
      </c>
      <c r="F11" s="160">
        <v>800</v>
      </c>
      <c r="G11" s="160">
        <v>800</v>
      </c>
      <c r="H11" s="160">
        <v>800</v>
      </c>
      <c r="I11" s="160">
        <v>800</v>
      </c>
      <c r="J11" s="160">
        <v>800</v>
      </c>
      <c r="K11" s="160">
        <v>800</v>
      </c>
      <c r="L11" s="160">
        <v>800</v>
      </c>
      <c r="M11" s="160">
        <v>800</v>
      </c>
      <c r="N11" s="160">
        <v>800</v>
      </c>
      <c r="O11" s="160">
        <v>800</v>
      </c>
      <c r="P11" s="160">
        <v>800</v>
      </c>
      <c r="Q11" s="160">
        <v>600</v>
      </c>
      <c r="R11" s="160">
        <v>234</v>
      </c>
      <c r="S11" s="160">
        <v>0</v>
      </c>
      <c r="T11" s="160">
        <v>0</v>
      </c>
      <c r="U11" s="160">
        <v>0</v>
      </c>
      <c r="V11" s="160">
        <v>0</v>
      </c>
      <c r="W11" s="160">
        <v>0</v>
      </c>
      <c r="X11" s="160">
        <v>0</v>
      </c>
      <c r="Y11" s="160">
        <v>0</v>
      </c>
      <c r="Z11" s="160">
        <v>0</v>
      </c>
      <c r="AA11" s="160">
        <v>0</v>
      </c>
      <c r="AB11" s="160">
        <v>0</v>
      </c>
      <c r="AC11" s="160">
        <v>0</v>
      </c>
      <c r="AD11" s="160">
        <v>0</v>
      </c>
      <c r="AE11" s="160">
        <v>0</v>
      </c>
      <c r="AF11" s="160">
        <v>0</v>
      </c>
      <c r="AG11" s="160">
        <v>0</v>
      </c>
      <c r="AH11" s="160">
        <v>0</v>
      </c>
      <c r="AI11" s="160">
        <v>0</v>
      </c>
      <c r="AJ11" s="161">
        <f t="shared" si="0"/>
        <v>11234</v>
      </c>
      <c r="AK11" s="157"/>
      <c r="AL11" s="157"/>
      <c r="AM11" s="157"/>
    </row>
    <row r="12" spans="1:39" x14ac:dyDescent="0.2">
      <c r="A12" s="214"/>
      <c r="B12" s="159" t="s">
        <v>285</v>
      </c>
      <c r="C12" s="215">
        <v>0.6</v>
      </c>
      <c r="D12" s="160">
        <v>4000</v>
      </c>
      <c r="E12" s="160">
        <v>4000</v>
      </c>
      <c r="F12" s="160">
        <v>4000</v>
      </c>
      <c r="G12" s="160">
        <v>4000</v>
      </c>
      <c r="H12" s="160">
        <v>4002</v>
      </c>
      <c r="I12" s="160">
        <v>4002</v>
      </c>
      <c r="J12" s="160">
        <v>4004</v>
      </c>
      <c r="K12" s="160">
        <v>4003</v>
      </c>
      <c r="L12" s="160">
        <v>4002</v>
      </c>
      <c r="M12" s="160">
        <v>4004</v>
      </c>
      <c r="N12" s="160">
        <v>4001</v>
      </c>
      <c r="O12" s="160">
        <v>4002</v>
      </c>
      <c r="P12" s="160">
        <v>4000</v>
      </c>
      <c r="Q12" s="160">
        <v>4001</v>
      </c>
      <c r="R12" s="160">
        <v>4003</v>
      </c>
      <c r="S12" s="160">
        <v>4002</v>
      </c>
      <c r="T12" s="160">
        <v>4001</v>
      </c>
      <c r="U12" s="160">
        <v>4003</v>
      </c>
      <c r="V12" s="160">
        <v>4003</v>
      </c>
      <c r="W12" s="160">
        <v>4003</v>
      </c>
      <c r="X12" s="160">
        <v>4001</v>
      </c>
      <c r="Y12" s="160">
        <v>4002</v>
      </c>
      <c r="Z12" s="160">
        <v>4004</v>
      </c>
      <c r="AA12" s="160">
        <v>4004</v>
      </c>
      <c r="AB12" s="160">
        <v>4004</v>
      </c>
      <c r="AC12" s="160">
        <v>3962</v>
      </c>
      <c r="AD12" s="160">
        <v>3614</v>
      </c>
      <c r="AE12" s="160">
        <v>2599</v>
      </c>
      <c r="AF12" s="160">
        <v>2463</v>
      </c>
      <c r="AG12" s="160">
        <v>2021</v>
      </c>
      <c r="AH12" s="160">
        <v>1345</v>
      </c>
      <c r="AI12" s="160">
        <v>0</v>
      </c>
      <c r="AJ12" s="161">
        <f t="shared" si="0"/>
        <v>116055</v>
      </c>
      <c r="AK12" s="157"/>
      <c r="AL12" s="157"/>
      <c r="AM12" s="157"/>
    </row>
    <row r="13" spans="1:39" x14ac:dyDescent="0.2">
      <c r="A13" s="214"/>
      <c r="B13" s="159" t="s">
        <v>286</v>
      </c>
      <c r="C13" s="215">
        <v>0.51</v>
      </c>
      <c r="D13" s="160">
        <v>831</v>
      </c>
      <c r="E13" s="160">
        <v>811</v>
      </c>
      <c r="F13" s="160">
        <v>720</v>
      </c>
      <c r="G13" s="160">
        <v>706</v>
      </c>
      <c r="H13" s="160">
        <v>635</v>
      </c>
      <c r="I13" s="160">
        <v>406</v>
      </c>
      <c r="J13" s="160">
        <v>406</v>
      </c>
      <c r="K13" s="160">
        <v>406</v>
      </c>
      <c r="L13" s="160">
        <v>406</v>
      </c>
      <c r="M13" s="160">
        <v>318</v>
      </c>
      <c r="N13" s="160">
        <v>85</v>
      </c>
      <c r="O13" s="160">
        <v>32</v>
      </c>
      <c r="P13" s="160">
        <v>0</v>
      </c>
      <c r="Q13" s="160">
        <v>0</v>
      </c>
      <c r="R13" s="160">
        <v>0</v>
      </c>
      <c r="S13" s="160">
        <v>0</v>
      </c>
      <c r="T13" s="160">
        <v>0</v>
      </c>
      <c r="U13" s="160">
        <v>0</v>
      </c>
      <c r="V13" s="160">
        <v>0</v>
      </c>
      <c r="W13" s="160">
        <v>0</v>
      </c>
      <c r="X13" s="160">
        <v>0</v>
      </c>
      <c r="Y13" s="160">
        <v>0</v>
      </c>
      <c r="Z13" s="160">
        <v>0</v>
      </c>
      <c r="AA13" s="160">
        <v>0</v>
      </c>
      <c r="AB13" s="160">
        <v>0</v>
      </c>
      <c r="AC13" s="160">
        <v>0</v>
      </c>
      <c r="AD13" s="160">
        <v>0</v>
      </c>
      <c r="AE13" s="160">
        <v>0</v>
      </c>
      <c r="AF13" s="160">
        <v>0</v>
      </c>
      <c r="AG13" s="160">
        <v>0</v>
      </c>
      <c r="AH13" s="160">
        <v>0</v>
      </c>
      <c r="AI13" s="160">
        <v>0</v>
      </c>
      <c r="AJ13" s="161">
        <f t="shared" si="0"/>
        <v>5762</v>
      </c>
      <c r="AK13" s="157"/>
      <c r="AL13" s="157"/>
      <c r="AM13" s="157"/>
    </row>
    <row r="14" spans="1:39" x14ac:dyDescent="0.2">
      <c r="A14" s="214"/>
      <c r="B14" s="159" t="s">
        <v>288</v>
      </c>
      <c r="C14" s="215">
        <v>0.5</v>
      </c>
      <c r="D14" s="160">
        <v>2194</v>
      </c>
      <c r="E14" s="160">
        <v>2194</v>
      </c>
      <c r="F14" s="160">
        <v>2194</v>
      </c>
      <c r="G14" s="160">
        <v>2194</v>
      </c>
      <c r="H14" s="160">
        <v>2194</v>
      </c>
      <c r="I14" s="160">
        <v>2079</v>
      </c>
      <c r="J14" s="160">
        <v>1936</v>
      </c>
      <c r="K14" s="160">
        <v>1931</v>
      </c>
      <c r="L14" s="160">
        <v>1931</v>
      </c>
      <c r="M14" s="160">
        <v>1931</v>
      </c>
      <c r="N14" s="160">
        <v>1800</v>
      </c>
      <c r="O14" s="160">
        <v>1395</v>
      </c>
      <c r="P14" s="160">
        <v>948</v>
      </c>
      <c r="Q14" s="160">
        <v>319</v>
      </c>
      <c r="R14" s="160">
        <v>281</v>
      </c>
      <c r="S14" s="160">
        <v>0</v>
      </c>
      <c r="T14" s="160">
        <v>0</v>
      </c>
      <c r="U14" s="160">
        <v>0</v>
      </c>
      <c r="V14" s="160">
        <v>0</v>
      </c>
      <c r="W14" s="160">
        <v>0</v>
      </c>
      <c r="X14" s="160">
        <v>0</v>
      </c>
      <c r="Y14" s="160">
        <v>0</v>
      </c>
      <c r="Z14" s="160">
        <v>0</v>
      </c>
      <c r="AA14" s="160">
        <v>0</v>
      </c>
      <c r="AB14" s="160">
        <v>0</v>
      </c>
      <c r="AC14" s="160">
        <v>0</v>
      </c>
      <c r="AD14" s="160">
        <v>0</v>
      </c>
      <c r="AE14" s="160">
        <v>0</v>
      </c>
      <c r="AF14" s="160">
        <v>0</v>
      </c>
      <c r="AG14" s="160">
        <v>0</v>
      </c>
      <c r="AH14" s="160">
        <v>0</v>
      </c>
      <c r="AI14" s="160">
        <v>0</v>
      </c>
      <c r="AJ14" s="161">
        <f t="shared" si="0"/>
        <v>25521</v>
      </c>
      <c r="AK14" s="157"/>
      <c r="AL14" s="157"/>
      <c r="AM14" s="157"/>
    </row>
    <row r="15" spans="1:39" x14ac:dyDescent="0.2">
      <c r="A15" s="214"/>
      <c r="B15" s="159" t="s">
        <v>287</v>
      </c>
      <c r="C15" s="215">
        <v>0.5</v>
      </c>
      <c r="D15" s="160">
        <v>3600</v>
      </c>
      <c r="E15" s="160">
        <v>3600</v>
      </c>
      <c r="F15" s="160">
        <v>3600</v>
      </c>
      <c r="G15" s="160">
        <v>3600</v>
      </c>
      <c r="H15" s="160">
        <v>3220</v>
      </c>
      <c r="I15" s="160">
        <v>2627</v>
      </c>
      <c r="J15" s="160">
        <v>1800</v>
      </c>
      <c r="K15" s="160">
        <v>1000</v>
      </c>
      <c r="L15" s="160">
        <v>490</v>
      </c>
      <c r="M15" s="160">
        <v>41</v>
      </c>
      <c r="N15" s="160">
        <v>0</v>
      </c>
      <c r="O15" s="160">
        <v>0</v>
      </c>
      <c r="P15" s="160">
        <v>0</v>
      </c>
      <c r="Q15" s="160">
        <v>0</v>
      </c>
      <c r="R15" s="160">
        <v>0</v>
      </c>
      <c r="S15" s="160">
        <v>0</v>
      </c>
      <c r="T15" s="160">
        <v>0</v>
      </c>
      <c r="U15" s="160">
        <v>0</v>
      </c>
      <c r="V15" s="160">
        <v>0</v>
      </c>
      <c r="W15" s="160">
        <v>0</v>
      </c>
      <c r="X15" s="160">
        <v>0</v>
      </c>
      <c r="Y15" s="160">
        <v>0</v>
      </c>
      <c r="Z15" s="160">
        <v>0</v>
      </c>
      <c r="AA15" s="160">
        <v>0</v>
      </c>
      <c r="AB15" s="160">
        <v>0</v>
      </c>
      <c r="AC15" s="160">
        <v>0</v>
      </c>
      <c r="AD15" s="160">
        <v>0</v>
      </c>
      <c r="AE15" s="160">
        <v>0</v>
      </c>
      <c r="AF15" s="160">
        <v>0</v>
      </c>
      <c r="AG15" s="160">
        <v>0</v>
      </c>
      <c r="AH15" s="160">
        <v>0</v>
      </c>
      <c r="AI15" s="160">
        <v>0</v>
      </c>
      <c r="AJ15" s="161">
        <f t="shared" si="0"/>
        <v>23578</v>
      </c>
      <c r="AK15" s="157"/>
      <c r="AL15" s="157"/>
      <c r="AM15" s="157"/>
    </row>
    <row r="16" spans="1:39" x14ac:dyDescent="0.2">
      <c r="A16" s="214"/>
      <c r="B16" s="159" t="s">
        <v>281</v>
      </c>
      <c r="C16" s="215">
        <v>0.49979999999999997</v>
      </c>
      <c r="D16" s="160">
        <v>468</v>
      </c>
      <c r="E16" s="160">
        <v>362</v>
      </c>
      <c r="F16" s="160">
        <v>173</v>
      </c>
      <c r="G16" s="160">
        <v>150</v>
      </c>
      <c r="H16" s="160">
        <v>150</v>
      </c>
      <c r="I16" s="160">
        <v>150</v>
      </c>
      <c r="J16" s="160">
        <v>69</v>
      </c>
      <c r="K16" s="160">
        <v>0</v>
      </c>
      <c r="L16" s="160">
        <v>0</v>
      </c>
      <c r="M16" s="160">
        <v>0</v>
      </c>
      <c r="N16" s="160">
        <v>0</v>
      </c>
      <c r="O16" s="160">
        <v>0</v>
      </c>
      <c r="P16" s="160">
        <v>0</v>
      </c>
      <c r="Q16" s="160">
        <v>0</v>
      </c>
      <c r="R16" s="160">
        <v>0</v>
      </c>
      <c r="S16" s="160">
        <v>0</v>
      </c>
      <c r="T16" s="160">
        <v>0</v>
      </c>
      <c r="U16" s="160">
        <v>0</v>
      </c>
      <c r="V16" s="160">
        <v>0</v>
      </c>
      <c r="W16" s="160">
        <v>0</v>
      </c>
      <c r="X16" s="160">
        <v>0</v>
      </c>
      <c r="Y16" s="160">
        <v>0</v>
      </c>
      <c r="Z16" s="160">
        <v>0</v>
      </c>
      <c r="AA16" s="160">
        <v>0</v>
      </c>
      <c r="AB16" s="160">
        <v>0</v>
      </c>
      <c r="AC16" s="160">
        <v>0</v>
      </c>
      <c r="AD16" s="160">
        <v>0</v>
      </c>
      <c r="AE16" s="160">
        <v>0</v>
      </c>
      <c r="AF16" s="160">
        <v>0</v>
      </c>
      <c r="AG16" s="160">
        <v>0</v>
      </c>
      <c r="AH16" s="160">
        <v>0</v>
      </c>
      <c r="AI16" s="160">
        <v>0</v>
      </c>
      <c r="AJ16" s="161">
        <f t="shared" si="0"/>
        <v>1522</v>
      </c>
      <c r="AK16" s="157"/>
      <c r="AL16" s="157"/>
      <c r="AM16" s="157"/>
    </row>
    <row r="17" spans="1:39" x14ac:dyDescent="0.2">
      <c r="A17" s="214"/>
      <c r="B17" s="159" t="s">
        <v>289</v>
      </c>
      <c r="C17" s="215">
        <v>0.49</v>
      </c>
      <c r="D17" s="160">
        <v>4000</v>
      </c>
      <c r="E17" s="160">
        <v>4000</v>
      </c>
      <c r="F17" s="160">
        <v>4000</v>
      </c>
      <c r="G17" s="160">
        <v>4000</v>
      </c>
      <c r="H17" s="160">
        <v>4000</v>
      </c>
      <c r="I17" s="160">
        <v>4000</v>
      </c>
      <c r="J17" s="160">
        <v>4000</v>
      </c>
      <c r="K17" s="160">
        <v>4000</v>
      </c>
      <c r="L17" s="160">
        <v>3600</v>
      </c>
      <c r="M17" s="160">
        <v>2927</v>
      </c>
      <c r="N17" s="160">
        <v>846</v>
      </c>
      <c r="O17" s="160">
        <v>0</v>
      </c>
      <c r="P17" s="160">
        <v>0</v>
      </c>
      <c r="Q17" s="160">
        <v>0</v>
      </c>
      <c r="R17" s="160">
        <v>0</v>
      </c>
      <c r="S17" s="160">
        <v>0</v>
      </c>
      <c r="T17" s="160">
        <v>0</v>
      </c>
      <c r="U17" s="160">
        <v>0</v>
      </c>
      <c r="V17" s="160">
        <v>0</v>
      </c>
      <c r="W17" s="160">
        <v>0</v>
      </c>
      <c r="X17" s="160">
        <v>0</v>
      </c>
      <c r="Y17" s="160">
        <v>0</v>
      </c>
      <c r="Z17" s="160">
        <v>0</v>
      </c>
      <c r="AA17" s="160">
        <v>0</v>
      </c>
      <c r="AB17" s="160">
        <v>0</v>
      </c>
      <c r="AC17" s="160">
        <v>0</v>
      </c>
      <c r="AD17" s="160">
        <v>0</v>
      </c>
      <c r="AE17" s="160">
        <v>0</v>
      </c>
      <c r="AF17" s="160">
        <v>0</v>
      </c>
      <c r="AG17" s="160">
        <v>0</v>
      </c>
      <c r="AH17" s="160">
        <v>0</v>
      </c>
      <c r="AI17" s="160">
        <v>0</v>
      </c>
      <c r="AJ17" s="161">
        <f t="shared" si="0"/>
        <v>39373</v>
      </c>
      <c r="AK17" s="157"/>
      <c r="AL17" s="157"/>
      <c r="AM17" s="157"/>
    </row>
    <row r="18" spans="1:39" x14ac:dyDescent="0.2">
      <c r="A18" s="214"/>
      <c r="B18" s="159" t="s">
        <v>350</v>
      </c>
      <c r="C18" s="215">
        <v>0.5</v>
      </c>
      <c r="D18" s="160">
        <v>2200</v>
      </c>
      <c r="E18" s="160">
        <v>2200</v>
      </c>
      <c r="F18" s="160">
        <v>2200</v>
      </c>
      <c r="G18" s="160">
        <v>2200</v>
      </c>
      <c r="H18" s="160">
        <v>2200</v>
      </c>
      <c r="I18" s="160">
        <v>2200</v>
      </c>
      <c r="J18" s="160">
        <v>2200</v>
      </c>
      <c r="K18" s="160">
        <v>2197</v>
      </c>
      <c r="L18" s="160">
        <v>2000</v>
      </c>
      <c r="M18" s="160">
        <v>2000</v>
      </c>
      <c r="N18" s="160">
        <v>1741</v>
      </c>
      <c r="O18" s="160">
        <v>1100</v>
      </c>
      <c r="P18" s="160">
        <v>659</v>
      </c>
      <c r="Q18" s="160">
        <v>309</v>
      </c>
      <c r="R18" s="160">
        <v>90</v>
      </c>
      <c r="S18" s="160">
        <v>31</v>
      </c>
      <c r="T18" s="160">
        <v>0</v>
      </c>
      <c r="U18" s="160">
        <v>0</v>
      </c>
      <c r="V18" s="160">
        <v>0</v>
      </c>
      <c r="W18" s="160">
        <v>0</v>
      </c>
      <c r="X18" s="160">
        <v>0</v>
      </c>
      <c r="Y18" s="160">
        <v>0</v>
      </c>
      <c r="Z18" s="160">
        <v>0</v>
      </c>
      <c r="AA18" s="160">
        <v>0</v>
      </c>
      <c r="AB18" s="160">
        <v>0</v>
      </c>
      <c r="AC18" s="160">
        <v>0</v>
      </c>
      <c r="AD18" s="160">
        <v>0</v>
      </c>
      <c r="AE18" s="160">
        <v>0</v>
      </c>
      <c r="AF18" s="160">
        <v>0</v>
      </c>
      <c r="AG18" s="160">
        <v>0</v>
      </c>
      <c r="AH18" s="160">
        <v>0</v>
      </c>
      <c r="AI18" s="160">
        <v>0</v>
      </c>
      <c r="AJ18" s="161">
        <f t="shared" si="0"/>
        <v>25527</v>
      </c>
      <c r="AK18" s="157"/>
      <c r="AL18" s="157"/>
      <c r="AM18" s="157"/>
    </row>
    <row r="19" spans="1:39" x14ac:dyDescent="0.2">
      <c r="A19" s="214"/>
      <c r="B19" s="159" t="s">
        <v>290</v>
      </c>
      <c r="C19" s="215">
        <v>0.3</v>
      </c>
      <c r="D19" s="160">
        <v>2800</v>
      </c>
      <c r="E19" s="160">
        <v>2800</v>
      </c>
      <c r="F19" s="160">
        <v>2800</v>
      </c>
      <c r="G19" s="160">
        <v>2200</v>
      </c>
      <c r="H19" s="160">
        <v>2134</v>
      </c>
      <c r="I19" s="160">
        <v>2000</v>
      </c>
      <c r="J19" s="160">
        <v>2000</v>
      </c>
      <c r="K19" s="160">
        <v>2000</v>
      </c>
      <c r="L19" s="160">
        <v>2000</v>
      </c>
      <c r="M19" s="160">
        <v>2000</v>
      </c>
      <c r="N19" s="160">
        <v>2000</v>
      </c>
      <c r="O19" s="160">
        <v>2000</v>
      </c>
      <c r="P19" s="160">
        <v>2000</v>
      </c>
      <c r="Q19" s="160">
        <v>2000</v>
      </c>
      <c r="R19" s="160">
        <v>2000</v>
      </c>
      <c r="S19" s="160">
        <v>2000</v>
      </c>
      <c r="T19" s="160">
        <v>2000</v>
      </c>
      <c r="U19" s="160">
        <v>2000</v>
      </c>
      <c r="V19" s="160">
        <v>2000</v>
      </c>
      <c r="W19" s="160">
        <v>2000</v>
      </c>
      <c r="X19" s="160">
        <v>2000</v>
      </c>
      <c r="Y19" s="160">
        <v>2000</v>
      </c>
      <c r="Z19" s="160">
        <v>2000</v>
      </c>
      <c r="AA19" s="160">
        <v>2000</v>
      </c>
      <c r="AB19" s="160">
        <v>2000</v>
      </c>
      <c r="AC19" s="160">
        <v>2000</v>
      </c>
      <c r="AD19" s="160">
        <v>2000</v>
      </c>
      <c r="AE19" s="160">
        <v>2000</v>
      </c>
      <c r="AF19" s="160">
        <v>1275</v>
      </c>
      <c r="AG19" s="160">
        <v>750</v>
      </c>
      <c r="AH19" s="160">
        <v>350</v>
      </c>
      <c r="AI19" s="160">
        <v>210</v>
      </c>
      <c r="AJ19" s="161">
        <f t="shared" si="0"/>
        <v>61319</v>
      </c>
      <c r="AK19" s="157"/>
      <c r="AL19" s="157"/>
      <c r="AM19" s="157"/>
    </row>
    <row r="20" spans="1:39" x14ac:dyDescent="0.2">
      <c r="A20" s="214"/>
      <c r="B20" s="159" t="s">
        <v>291</v>
      </c>
      <c r="C20" s="215">
        <v>0.52500000000000002</v>
      </c>
      <c r="D20" s="160">
        <v>1350</v>
      </c>
      <c r="E20" s="160">
        <v>1350</v>
      </c>
      <c r="F20" s="160">
        <v>1260</v>
      </c>
      <c r="G20" s="160">
        <v>1080</v>
      </c>
      <c r="H20" s="160">
        <v>1000</v>
      </c>
      <c r="I20" s="160">
        <v>1000</v>
      </c>
      <c r="J20" s="160">
        <v>1000</v>
      </c>
      <c r="K20" s="160">
        <v>1000</v>
      </c>
      <c r="L20" s="160">
        <v>604</v>
      </c>
      <c r="M20" s="160">
        <v>500</v>
      </c>
      <c r="N20" s="160">
        <v>304</v>
      </c>
      <c r="O20" s="160">
        <v>120</v>
      </c>
      <c r="P20" s="160">
        <v>46</v>
      </c>
      <c r="Q20" s="160">
        <v>0</v>
      </c>
      <c r="R20" s="160">
        <v>0</v>
      </c>
      <c r="S20" s="160">
        <v>0</v>
      </c>
      <c r="T20" s="160">
        <v>0</v>
      </c>
      <c r="U20" s="160">
        <v>0</v>
      </c>
      <c r="V20" s="160">
        <v>0</v>
      </c>
      <c r="W20" s="160">
        <v>0</v>
      </c>
      <c r="X20" s="160">
        <v>0</v>
      </c>
      <c r="Y20" s="160">
        <v>0</v>
      </c>
      <c r="Z20" s="160">
        <v>0</v>
      </c>
      <c r="AA20" s="160">
        <v>0</v>
      </c>
      <c r="AB20" s="160">
        <v>0</v>
      </c>
      <c r="AC20" s="160">
        <v>0</v>
      </c>
      <c r="AD20" s="160">
        <v>0</v>
      </c>
      <c r="AE20" s="160">
        <v>0</v>
      </c>
      <c r="AF20" s="160">
        <v>0</v>
      </c>
      <c r="AG20" s="160">
        <v>0</v>
      </c>
      <c r="AH20" s="160">
        <v>0</v>
      </c>
      <c r="AI20" s="160">
        <v>0</v>
      </c>
      <c r="AJ20" s="161">
        <f t="shared" si="0"/>
        <v>10614</v>
      </c>
      <c r="AK20" s="157"/>
      <c r="AL20" s="157"/>
      <c r="AM20" s="157"/>
    </row>
    <row r="21" spans="1:39" x14ac:dyDescent="0.2">
      <c r="A21" s="214"/>
      <c r="B21" s="159" t="s">
        <v>351</v>
      </c>
      <c r="C21" s="215">
        <v>0.51</v>
      </c>
      <c r="D21" s="160">
        <v>3750</v>
      </c>
      <c r="E21" s="160">
        <v>6000</v>
      </c>
      <c r="F21" s="160">
        <v>6000</v>
      </c>
      <c r="G21" s="160">
        <v>6000</v>
      </c>
      <c r="H21" s="160">
        <v>6000</v>
      </c>
      <c r="I21" s="160">
        <v>6000</v>
      </c>
      <c r="J21" s="160">
        <v>6000</v>
      </c>
      <c r="K21" s="160">
        <v>6000</v>
      </c>
      <c r="L21" s="160">
        <v>6000</v>
      </c>
      <c r="M21" s="160">
        <v>6000</v>
      </c>
      <c r="N21" s="160">
        <v>6000</v>
      </c>
      <c r="O21" s="160">
        <v>6000</v>
      </c>
      <c r="P21" s="160">
        <v>6000</v>
      </c>
      <c r="Q21" s="160">
        <v>6000</v>
      </c>
      <c r="R21" s="160">
        <v>6000</v>
      </c>
      <c r="S21" s="160">
        <v>4800</v>
      </c>
      <c r="T21" s="160">
        <v>3700</v>
      </c>
      <c r="U21" s="160">
        <v>2500</v>
      </c>
      <c r="V21" s="160">
        <v>1500</v>
      </c>
      <c r="W21" s="160">
        <v>455</v>
      </c>
      <c r="X21" s="160">
        <v>0</v>
      </c>
      <c r="Y21" s="160">
        <v>0</v>
      </c>
      <c r="Z21" s="160">
        <v>0</v>
      </c>
      <c r="AA21" s="160">
        <v>0</v>
      </c>
      <c r="AB21" s="160">
        <v>0</v>
      </c>
      <c r="AC21" s="160">
        <v>0</v>
      </c>
      <c r="AD21" s="160">
        <v>0</v>
      </c>
      <c r="AE21" s="160">
        <v>0</v>
      </c>
      <c r="AF21" s="160">
        <v>0</v>
      </c>
      <c r="AG21" s="160">
        <v>0</v>
      </c>
      <c r="AH21" s="160">
        <v>0</v>
      </c>
      <c r="AI21" s="160">
        <v>0</v>
      </c>
      <c r="AJ21" s="161">
        <f t="shared" si="0"/>
        <v>100705</v>
      </c>
      <c r="AK21" s="157"/>
      <c r="AL21" s="157"/>
      <c r="AM21" s="157"/>
    </row>
    <row r="22" spans="1:39" x14ac:dyDescent="0.2">
      <c r="A22" s="214"/>
      <c r="B22" s="11" t="s">
        <v>1</v>
      </c>
      <c r="C22" s="11"/>
      <c r="D22" s="162">
        <v>29697</v>
      </c>
      <c r="E22" s="162">
        <v>32345</v>
      </c>
      <c r="F22" s="162">
        <v>32097</v>
      </c>
      <c r="G22" s="162">
        <v>31379</v>
      </c>
      <c r="H22" s="162">
        <v>30934</v>
      </c>
      <c r="I22" s="162">
        <v>29862</v>
      </c>
      <c r="J22" s="162">
        <v>28513</v>
      </c>
      <c r="K22" s="162">
        <v>26632</v>
      </c>
      <c r="L22" s="162">
        <v>24432</v>
      </c>
      <c r="M22" s="162">
        <v>23119</v>
      </c>
      <c r="N22" s="162">
        <v>19913</v>
      </c>
      <c r="O22" s="162">
        <v>17459</v>
      </c>
      <c r="P22" s="162">
        <v>16218</v>
      </c>
      <c r="Q22" s="162">
        <v>14893</v>
      </c>
      <c r="R22" s="162">
        <v>13865</v>
      </c>
      <c r="S22" s="162">
        <v>11558</v>
      </c>
      <c r="T22" s="162">
        <v>10290</v>
      </c>
      <c r="U22" s="162">
        <v>8868</v>
      </c>
      <c r="V22" s="162">
        <v>7868</v>
      </c>
      <c r="W22" s="162">
        <v>6823</v>
      </c>
      <c r="X22" s="162">
        <v>6366</v>
      </c>
      <c r="Y22" s="162">
        <v>6367</v>
      </c>
      <c r="Z22" s="162">
        <v>6348</v>
      </c>
      <c r="AA22" s="162">
        <v>6295</v>
      </c>
      <c r="AB22" s="162">
        <v>6004</v>
      </c>
      <c r="AC22" s="162">
        <v>5962</v>
      </c>
      <c r="AD22" s="162">
        <v>5614</v>
      </c>
      <c r="AE22" s="162">
        <v>4599</v>
      </c>
      <c r="AF22" s="162">
        <v>3739</v>
      </c>
      <c r="AG22" s="162">
        <v>2771</v>
      </c>
      <c r="AH22" s="162">
        <v>1695</v>
      </c>
      <c r="AI22" s="162">
        <v>210</v>
      </c>
      <c r="AJ22" s="162">
        <v>498902</v>
      </c>
      <c r="AK22" s="157"/>
      <c r="AL22" s="157"/>
      <c r="AM22" s="157"/>
    </row>
    <row r="23" spans="1:39" ht="15" x14ac:dyDescent="0.25">
      <c r="A23" s="214"/>
      <c r="B23" s="2" t="s">
        <v>367</v>
      </c>
      <c r="C23"/>
      <c r="D23"/>
      <c r="E23"/>
      <c r="F23"/>
      <c r="G23"/>
      <c r="H23"/>
      <c r="I23"/>
      <c r="J23"/>
      <c r="K23"/>
      <c r="L23"/>
      <c r="M23"/>
      <c r="N23"/>
      <c r="O23"/>
      <c r="P23"/>
      <c r="Q23"/>
      <c r="R23"/>
      <c r="S23"/>
      <c r="T23"/>
      <c r="U23"/>
      <c r="V23"/>
      <c r="W23"/>
      <c r="X23"/>
      <c r="Y23"/>
      <c r="Z23"/>
      <c r="AA23"/>
      <c r="AB23"/>
      <c r="AC23"/>
      <c r="AD23"/>
      <c r="AE23"/>
      <c r="AF23"/>
      <c r="AG23"/>
      <c r="AH23"/>
      <c r="AI23"/>
      <c r="AJ23"/>
      <c r="AK23" s="157"/>
      <c r="AL23" s="157"/>
      <c r="AM23" s="157"/>
    </row>
    <row r="24" spans="1:39" ht="15" x14ac:dyDescent="0.25">
      <c r="A24" s="9"/>
      <c r="C24"/>
      <c r="D24" s="54"/>
      <c r="E24" s="54"/>
      <c r="F24" s="54"/>
      <c r="G24" s="54"/>
      <c r="H24" s="220"/>
      <c r="I24" s="220"/>
      <c r="J24" s="220"/>
      <c r="K24" s="54"/>
      <c r="L24" s="54"/>
      <c r="M24" s="54"/>
      <c r="N24" s="54"/>
      <c r="O24" s="54"/>
      <c r="P24" s="54"/>
      <c r="Q24" s="54"/>
      <c r="R24" s="54"/>
      <c r="S24" s="54"/>
      <c r="T24" s="220"/>
      <c r="U24" s="220"/>
      <c r="V24" s="220"/>
      <c r="W24" s="54"/>
      <c r="X24" s="54"/>
      <c r="Y24" s="54"/>
      <c r="Z24" s="54"/>
      <c r="AA24" s="54"/>
      <c r="AB24" s="54"/>
      <c r="AC24" s="54"/>
      <c r="AD24" s="54"/>
      <c r="AE24" s="54"/>
      <c r="AF24" s="54"/>
      <c r="AG24" s="220"/>
      <c r="AH24" s="220"/>
      <c r="AJ24" s="54"/>
      <c r="AK24" s="157"/>
      <c r="AL24" s="157"/>
      <c r="AM24" s="157"/>
    </row>
    <row r="25" spans="1:39" ht="15" x14ac:dyDescent="0.25">
      <c r="C25"/>
    </row>
    <row r="26" spans="1:39" ht="15" x14ac:dyDescent="0.25">
      <c r="C26"/>
      <c r="AK26" s="157"/>
      <c r="AL26" s="157"/>
      <c r="AM26" s="157"/>
    </row>
    <row r="27" spans="1:39" ht="15" x14ac:dyDescent="0.25">
      <c r="C27"/>
      <c r="AK27" s="157"/>
      <c r="AL27" s="157"/>
      <c r="AM27" s="157"/>
    </row>
    <row r="28" spans="1:39" ht="15" x14ac:dyDescent="0.25">
      <c r="B28" s="157"/>
      <c r="C28"/>
      <c r="D28"/>
      <c r="E28"/>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row>
    <row r="29" spans="1:39" ht="15" x14ac:dyDescent="0.25">
      <c r="B29" s="157"/>
      <c r="C29"/>
      <c r="D29"/>
      <c r="E29"/>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row>
    <row r="30" spans="1:39" ht="15" x14ac:dyDescent="0.25">
      <c r="B30" s="157"/>
      <c r="C30"/>
      <c r="D30"/>
      <c r="E30"/>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row>
    <row r="31" spans="1:39" x14ac:dyDescent="0.2">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row>
    <row r="32" spans="1:39" x14ac:dyDescent="0.2">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row>
    <row r="33" spans="2:39" x14ac:dyDescent="0.2">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row>
    <row r="34" spans="2:39" x14ac:dyDescent="0.2">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row>
    <row r="35" spans="2:39" x14ac:dyDescent="0.2">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row>
    <row r="36" spans="2:39" x14ac:dyDescent="0.2">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2:39" x14ac:dyDescent="0.2">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row>
    <row r="38" spans="2:39" x14ac:dyDescent="0.2">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row>
    <row r="39" spans="2:39" x14ac:dyDescent="0.2">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row>
  </sheetData>
  <sortState ref="B7:AK23">
    <sortCondition descending="1" ref="B7:B23"/>
  </sortState>
  <mergeCells count="5">
    <mergeCell ref="A2:A3"/>
    <mergeCell ref="B5:B7"/>
    <mergeCell ref="C5:C7"/>
    <mergeCell ref="E5:AD5"/>
    <mergeCell ref="A4:A5"/>
  </mergeCells>
  <pageMargins left="0.7" right="0.7"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4</vt:i4>
      </vt:variant>
    </vt:vector>
  </HeadingPairs>
  <TitlesOfParts>
    <vt:vector size="14" baseType="lpstr">
      <vt:lpstr>Title</vt:lpstr>
      <vt:lpstr>Content</vt:lpstr>
      <vt:lpstr>1.Income Statement</vt:lpstr>
      <vt:lpstr>2.Balance Sheet</vt:lpstr>
      <vt:lpstr>3.Cash Flow Statement</vt:lpstr>
      <vt:lpstr>4.Equity</vt:lpstr>
      <vt:lpstr>5. Operational &amp; Cost Metrics</vt:lpstr>
      <vt:lpstr>6. CPR Production Forecast</vt:lpstr>
      <vt:lpstr>CPR Production Profiles</vt:lpstr>
      <vt:lpstr>Reference List</vt:lpstr>
      <vt:lpstr>'1.Income Statement'!Область_печати</vt:lpstr>
      <vt:lpstr>'2.Balance Sheet'!Область_печати</vt:lpstr>
      <vt:lpstr>'3.Cash Flow Statement'!Область_печати</vt:lpstr>
      <vt:lpstr>'5. Operational &amp; Cost Metrics'!Область_печати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Malika Turakbayeva</dc:creator>
  <cp:lastModifiedBy>Aiman Kuzetova</cp:lastModifiedBy>
  <cp:lastPrinted>2025-11-25T13:15:06Z</cp:lastPrinted>
  <dcterms:created xsi:type="dcterms:W3CDTF">2021-11-01T11:53:16Z</dcterms:created>
  <dcterms:modified xsi:type="dcterms:W3CDTF">2026-06-03T05:37:22Z</dcterms:modified>
</cp:coreProperties>
</file>